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workbookProtection workbookPassword="F66E" lockStructure="1"/>
  <bookViews>
    <workbookView xWindow="480" yWindow="465" windowWidth="19320" windowHeight="11400" tabRatio="924" activeTab="23"/>
  </bookViews>
  <sheets>
    <sheet name="Инструкция" sheetId="41" r:id="rId1"/>
    <sheet name="Титульный" sheetId="1" r:id="rId2"/>
    <sheet name="списки" sheetId="2" state="hidden" r:id="rId3"/>
    <sheet name="дефляторы" sheetId="44" state="hidden" r:id="rId4"/>
    <sheet name="данные об организации" sheetId="6" r:id="rId5"/>
    <sheet name="Анкета" sheetId="7" r:id="rId6"/>
    <sheet name="Техн характер системы" sheetId="8" r:id="rId7"/>
    <sheet name="баланс ВСН" sheetId="43" r:id="rId8"/>
    <sheet name="расчет у.е." sheetId="46" r:id="rId9"/>
    <sheet name="НВВ16ф" sheetId="23" r:id="rId10"/>
    <sheet name="ППф" sheetId="53" r:id="rId11"/>
    <sheet name="ИПф" sheetId="54" r:id="rId12"/>
    <sheet name="ОР" sheetId="49" r:id="rId13"/>
    <sheet name="РЭ" sheetId="10" r:id="rId14"/>
    <sheet name="расходы по покупке воды" sheetId="14" r:id="rId15"/>
    <sheet name="сторонние услуги в тарифе" sheetId="15" r:id="rId16"/>
    <sheet name="тепловая энергия на обогрев" sheetId="13" r:id="rId17"/>
    <sheet name="Прочие энергоресурсы" sheetId="16" r:id="rId18"/>
    <sheet name="земля" sheetId="18" r:id="rId19"/>
    <sheet name="Аренда" sheetId="21" r:id="rId20"/>
    <sheet name="имущ.налог" sheetId="33" r:id="rId21"/>
    <sheet name="водный налог" sheetId="42" r:id="rId22"/>
    <sheet name="Техн характер бсх" sheetId="48" r:id="rId23"/>
    <sheet name="Бесхоз" sheetId="47" r:id="rId24"/>
    <sheet name="НРиА" sheetId="25" r:id="rId25"/>
    <sheet name="НП" sheetId="34" r:id="rId26"/>
    <sheet name="НВВск и тариф" sheetId="27" r:id="rId27"/>
    <sheet name="ПП" sheetId="29" r:id="rId28"/>
    <sheet name="ППсогл" sheetId="31" state="hidden" r:id="rId29"/>
    <sheet name="НВВсогл" sheetId="30" state="hidden" r:id="rId30"/>
    <sheet name="баланс базового периода" sheetId="9" state="hidden" r:id="rId31"/>
    <sheet name="НВВ базовый расчет" sheetId="24" state="hidden" r:id="rId32"/>
    <sheet name="ПП 2016-2018" sheetId="12" state="hidden" r:id="rId33"/>
    <sheet name="ПП2017-2019" sheetId="55" state="hidden" r:id="rId34"/>
    <sheet name="НВВ2017" sheetId="50" state="hidden" r:id="rId35"/>
    <sheet name="смета факт 16" sheetId="52" state="hidden" r:id="rId36"/>
    <sheet name="отчетПП" sheetId="37" state="hidden" r:id="rId37"/>
    <sheet name="приказ" sheetId="32" state="hidden" r:id="rId38"/>
  </sheets>
  <definedNames>
    <definedName name="anscount" hidden="1">1</definedName>
    <definedName name="HTML_CodePage" hidden="1">1251</definedName>
    <definedName name="HTML_Control" localSheetId="5" hidden="1">{"'Лист1'!$A$1:$W$63"}</definedName>
    <definedName name="HTML_Control" localSheetId="19" hidden="1">{"'Лист1'!$A$1:$W$63"}</definedName>
    <definedName name="HTML_Control" localSheetId="30" hidden="1">{"'Лист1'!$A$1:$W$63"}</definedName>
    <definedName name="HTML_Control" localSheetId="7" hidden="1">{"'Лист1'!$A$1:$W$63"}</definedName>
    <definedName name="HTML_Control" localSheetId="23" hidden="1">{"'Лист1'!$A$1:$W$63"}</definedName>
    <definedName name="HTML_Control" localSheetId="21" hidden="1">{"'Лист1'!$A$1:$W$63"}</definedName>
    <definedName name="HTML_Control" localSheetId="4" hidden="1">{"'Лист1'!$A$1:$W$63"}</definedName>
    <definedName name="HTML_Control" localSheetId="3" hidden="1">{"'Лист1'!$A$1:$W$63"}</definedName>
    <definedName name="HTML_Control" localSheetId="20" hidden="1">{"'Лист1'!$A$1:$W$63"}</definedName>
    <definedName name="HTML_Control" localSheetId="0" hidden="1">{"'Лист1'!$A$1:$W$63"}</definedName>
    <definedName name="HTML_Control" localSheetId="31" hidden="1">{"'Лист1'!$A$1:$W$63"}</definedName>
    <definedName name="HTML_Control" localSheetId="34" hidden="1">{"'Лист1'!$A$1:$W$63"}</definedName>
    <definedName name="HTML_Control" localSheetId="25" hidden="1">{"'Лист1'!$A$1:$W$63"}</definedName>
    <definedName name="HTML_Control" localSheetId="27" hidden="1">{"'Лист1'!$A$1:$W$63"}</definedName>
    <definedName name="HTML_Control" localSheetId="32" hidden="1">{"'Лист1'!$A$1:$W$63"}</definedName>
    <definedName name="HTML_Control" localSheetId="28" hidden="1">{"'Лист1'!$A$1:$W$63"}</definedName>
    <definedName name="HTML_Control" localSheetId="37" hidden="1">{"'Лист1'!$A$1:$W$63"}</definedName>
    <definedName name="HTML_Control" localSheetId="17" hidden="1">{"'Лист1'!$A$1:$W$63"}</definedName>
    <definedName name="HTML_Control" localSheetId="14" hidden="1">{"'Лист1'!$A$1:$W$63"}</definedName>
    <definedName name="HTML_Control" localSheetId="15" hidden="1">{"'Лист1'!$A$1:$W$63"}</definedName>
    <definedName name="HTML_Control" localSheetId="16" hidden="1">{"'Лист1'!$A$1:$W$63"}</definedName>
    <definedName name="HTML_Control" localSheetId="22" hidden="1">{"'Лист1'!$A$1:$W$63"}</definedName>
    <definedName name="HTML_Control" localSheetId="6" hidden="1">{"'Лист1'!$A$1:$W$63"}</definedName>
    <definedName name="HTML_Control" hidden="1">{"'Лист1'!$A$1:$W$63"}</definedName>
    <definedName name="HTML_Description" hidden="1">""</definedName>
    <definedName name="HTML_Email" hidden="1">""</definedName>
    <definedName name="HTML_Header" hidden="1">"Лист1"</definedName>
    <definedName name="HTML_LastUpdate" hidden="1">"18.10.01"</definedName>
    <definedName name="HTML_LineAfter" hidden="1">FALSE</definedName>
    <definedName name="HTML_LineBefore" hidden="1">FALSE</definedName>
    <definedName name="HTML_Name" hidden="1">"Федецкий И.И."</definedName>
    <definedName name="HTML_OBDlg2" hidden="1">TRUE</definedName>
    <definedName name="HTML_OBDlg4" hidden="1">TRUE</definedName>
    <definedName name="HTML_OS" hidden="1">0</definedName>
    <definedName name="HTML_PathFile" hidden="1">"D:\Мои документы\СТАТЬИ\MyHTML.htm"</definedName>
    <definedName name="HTML_Title" hidden="1">"Климатические зоны Томской области"</definedName>
    <definedName name="wrn.ГРЭС._.н." localSheetId="5" hidden="1">{"ГРЭС надз",#N/A,FALSE,"Исх"}</definedName>
    <definedName name="wrn.ГРЭС._.н." localSheetId="19" hidden="1">{"ГРЭС надз",#N/A,FALSE,"Исх"}</definedName>
    <definedName name="wrn.ГРЭС._.н." localSheetId="30" hidden="1">{"ГРЭС надз",#N/A,FALSE,"Исх"}</definedName>
    <definedName name="wrn.ГРЭС._.н." localSheetId="7" hidden="1">{"ГРЭС надз",#N/A,FALSE,"Исх"}</definedName>
    <definedName name="wrn.ГРЭС._.н." localSheetId="23" hidden="1">{"ГРЭС надз",#N/A,FALSE,"Исх"}</definedName>
    <definedName name="wrn.ГРЭС._.н." localSheetId="21" hidden="1">{"ГРЭС надз",#N/A,FALSE,"Исх"}</definedName>
    <definedName name="wrn.ГРЭС._.н." localSheetId="4" hidden="1">{"ГРЭС надз",#N/A,FALSE,"Исх"}</definedName>
    <definedName name="wrn.ГРЭС._.н." localSheetId="3" hidden="1">{"ГРЭС надз",#N/A,FALSE,"Исх"}</definedName>
    <definedName name="wrn.ГРЭС._.н." localSheetId="20" hidden="1">{"ГРЭС надз",#N/A,FALSE,"Исх"}</definedName>
    <definedName name="wrn.ГРЭС._.н." localSheetId="0" hidden="1">{"ГРЭС надз",#N/A,FALSE,"Исх"}</definedName>
    <definedName name="wrn.ГРЭС._.н." localSheetId="31" hidden="1">{"ГРЭС надз",#N/A,FALSE,"Исх"}</definedName>
    <definedName name="wrn.ГРЭС._.н." localSheetId="34" hidden="1">{"ГРЭС надз",#N/A,FALSE,"Исх"}</definedName>
    <definedName name="wrn.ГРЭС._.н." localSheetId="25" hidden="1">{"ГРЭС надз",#N/A,FALSE,"Исх"}</definedName>
    <definedName name="wrn.ГРЭС._.н." localSheetId="27" hidden="1">{"ГРЭС надз",#N/A,FALSE,"Исх"}</definedName>
    <definedName name="wrn.ГРЭС._.н." localSheetId="32" hidden="1">{"ГРЭС надз",#N/A,FALSE,"Исх"}</definedName>
    <definedName name="wrn.ГРЭС._.н." localSheetId="28" hidden="1">{"ГРЭС надз",#N/A,FALSE,"Исх"}</definedName>
    <definedName name="wrn.ГРЭС._.н." localSheetId="37" hidden="1">{"ГРЭС надз",#N/A,FALSE,"Исх"}</definedName>
    <definedName name="wrn.ГРЭС._.н." localSheetId="17" hidden="1">{"ГРЭС надз",#N/A,FALSE,"Исх"}</definedName>
    <definedName name="wrn.ГРЭС._.н." localSheetId="14" hidden="1">{"ГРЭС надз",#N/A,FALSE,"Исх"}</definedName>
    <definedName name="wrn.ГРЭС._.н." localSheetId="15" hidden="1">{"ГРЭС надз",#N/A,FALSE,"Исх"}</definedName>
    <definedName name="wrn.ГРЭС._.н." localSheetId="16" hidden="1">{"ГРЭС надз",#N/A,FALSE,"Исх"}</definedName>
    <definedName name="wrn.ГРЭС._.н." localSheetId="22" hidden="1">{"ГРЭС надз",#N/A,FALSE,"Исх"}</definedName>
    <definedName name="wrn.ГРЭС._.н." localSheetId="6" hidden="1">{"ГРЭС надз",#N/A,FALSE,"Исх"}</definedName>
    <definedName name="wrn.ГРЭС._.н." hidden="1">{"ГРЭС надз",#N/A,FALSE,"Исх"}</definedName>
    <definedName name="Z_282D0FBF_9F9A_4EC2_AEBA_9C8F5765B75C_.wvu.Cols" localSheetId="23" hidden="1">Бесхоз!$C:$C,Бесхоз!$E:$E,Бесхоз!$I:$K</definedName>
    <definedName name="Z_282D0FBF_9F9A_4EC2_AEBA_9C8F5765B75C_.wvu.Rows" localSheetId="23" hidden="1">Бесхоз!$65:$70,Бесхоз!#REF!</definedName>
    <definedName name="Z_9C5701DE_8813_4DBD_A71D_128E7F877F6E_.wvu.Cols" localSheetId="19" hidden="1">Аренда!$T:$U</definedName>
    <definedName name="Z_9C5701DE_8813_4DBD_A71D_128E7F877F6E_.wvu.Cols" localSheetId="23" hidden="1">Бесхоз!$C:$C,Бесхоз!$E:$E,Бесхоз!$I:$K</definedName>
    <definedName name="Z_9C5701DE_8813_4DBD_A71D_128E7F877F6E_.wvu.Cols" localSheetId="20" hidden="1">имущ.налог!$R:$T</definedName>
    <definedName name="Z_9C5701DE_8813_4DBD_A71D_128E7F877F6E_.wvu.Cols" localSheetId="32" hidden="1">'ПП 2016-2018'!$I:$L</definedName>
    <definedName name="Z_9C5701DE_8813_4DBD_A71D_128E7F877F6E_.wvu.Cols" localSheetId="17" hidden="1">'Прочие энергоресурсы'!$E:$E,'Прочие энергоресурсы'!$IH:$IJ</definedName>
    <definedName name="Z_9C5701DE_8813_4DBD_A71D_128E7F877F6E_.wvu.Cols" localSheetId="14" hidden="1">'расходы по покупке воды'!#REF!</definedName>
    <definedName name="Z_9C5701DE_8813_4DBD_A71D_128E7F877F6E_.wvu.Cols" localSheetId="15" hidden="1">'сторонние услуги в тарифе'!$IF:$IH</definedName>
    <definedName name="Z_9C5701DE_8813_4DBD_A71D_128E7F877F6E_.wvu.Cols" localSheetId="16" hidden="1">'тепловая энергия на обогрев'!$G:$I</definedName>
    <definedName name="Z_9C5701DE_8813_4DBD_A71D_128E7F877F6E_.wvu.PrintTitles" localSheetId="30" hidden="1">'баланс базового периода'!$6:$9</definedName>
    <definedName name="Z_9C5701DE_8813_4DBD_A71D_128E7F877F6E_.wvu.Rows" localSheetId="30" hidden="1">'баланс базового периода'!$10:$10,'баланс базового периода'!$26:$26,'баланс базового периода'!$44:$57</definedName>
    <definedName name="Z_9C5701DE_8813_4DBD_A71D_128E7F877F6E_.wvu.Rows" localSheetId="23" hidden="1">Бесхоз!$65:$70,Бесхоз!#REF!</definedName>
    <definedName name="Z_9C5701DE_8813_4DBD_A71D_128E7F877F6E_.wvu.Rows" localSheetId="16" hidden="1">'тепловая энергия на обогрев'!$17:$24</definedName>
    <definedName name="Z_9C5701DE_8813_4DBD_A71D_128E7F877F6E_.wvu.Rows" localSheetId="22" hidden="1">'Техн характер бсх'!$11:$27,'Техн характер бсх'!$32:$40,'Техн характер бсх'!$45:$51,'Техн характер бсх'!$56:$63,'Техн характер бсх'!$71:$84,'Техн характер бсх'!#REF!</definedName>
    <definedName name="Z_9C5701DE_8813_4DBD_A71D_128E7F877F6E_.wvu.Rows" localSheetId="6" hidden="1">'Техн характер системы'!$11:$27,'Техн характер системы'!$32:$40,'Техн характер системы'!$45:$51,'Техн характер системы'!$56:$63,'Техн характер системы'!$71:$84,'Техн характер системы'!#REF!</definedName>
    <definedName name="ааа" localSheetId="5" hidden="1">{"'Лист1'!$A$1:$W$63"}</definedName>
    <definedName name="ааа" localSheetId="19" hidden="1">{"'Лист1'!$A$1:$W$63"}</definedName>
    <definedName name="ааа" localSheetId="30" hidden="1">{"'Лист1'!$A$1:$W$63"}</definedName>
    <definedName name="ааа" localSheetId="7" hidden="1">{"'Лист1'!$A$1:$W$63"}</definedName>
    <definedName name="ааа" localSheetId="23" hidden="1">{"'Лист1'!$A$1:$W$63"}</definedName>
    <definedName name="ааа" localSheetId="21" hidden="1">{"'Лист1'!$A$1:$W$63"}</definedName>
    <definedName name="ааа" localSheetId="4" hidden="1">{"'Лист1'!$A$1:$W$63"}</definedName>
    <definedName name="ааа" localSheetId="3" hidden="1">{"'Лист1'!$A$1:$W$63"}</definedName>
    <definedName name="ааа" localSheetId="20" hidden="1">{"'Лист1'!$A$1:$W$63"}</definedName>
    <definedName name="ааа" localSheetId="0" hidden="1">{"'Лист1'!$A$1:$W$63"}</definedName>
    <definedName name="ааа" localSheetId="31" hidden="1">{"'Лист1'!$A$1:$W$63"}</definedName>
    <definedName name="ааа" localSheetId="34" hidden="1">{"'Лист1'!$A$1:$W$63"}</definedName>
    <definedName name="ааа" localSheetId="25" hidden="1">{"'Лист1'!$A$1:$W$63"}</definedName>
    <definedName name="ааа" localSheetId="27" hidden="1">{"'Лист1'!$A$1:$W$63"}</definedName>
    <definedName name="ааа" localSheetId="32" hidden="1">{"'Лист1'!$A$1:$W$63"}</definedName>
    <definedName name="ааа" localSheetId="28" hidden="1">{"'Лист1'!$A$1:$W$63"}</definedName>
    <definedName name="ааа" localSheetId="37" hidden="1">{"'Лист1'!$A$1:$W$63"}</definedName>
    <definedName name="ааа" localSheetId="17" hidden="1">{"'Лист1'!$A$1:$W$63"}</definedName>
    <definedName name="ааа" localSheetId="14" hidden="1">{"'Лист1'!$A$1:$W$63"}</definedName>
    <definedName name="ааа" localSheetId="15" hidden="1">{"'Лист1'!$A$1:$W$63"}</definedName>
    <definedName name="ааа" localSheetId="16" hidden="1">{"'Лист1'!$A$1:$W$63"}</definedName>
    <definedName name="ааа" localSheetId="22" hidden="1">{"'Лист1'!$A$1:$W$63"}</definedName>
    <definedName name="ааа" localSheetId="6" hidden="1">{"'Лист1'!$A$1:$W$63"}</definedName>
    <definedName name="ааа" hidden="1">{"'Лист1'!$A$1:$W$63"}</definedName>
    <definedName name="аренда_среднегод_2016">дефляторы!$I$25</definedName>
    <definedName name="аренда_среднегод_2017">дефляторы!$J$25</definedName>
    <definedName name="аренда_среднегод_2018">дефляторы!$K$25</definedName>
    <definedName name="аренда_среднегод_2019">дефляторы!$L$25</definedName>
    <definedName name="аренда_среднегод_2020">дефляторы!$M$25</definedName>
    <definedName name="вид_водозабора">списки!$H$17:$H$19</definedName>
    <definedName name="вид_воды">списки!$H$12:$H$13</definedName>
    <definedName name="вид_тарифа">списки!$H$3:$H$6</definedName>
    <definedName name="вода_среднегод_2016">дефляторы!$I$7</definedName>
    <definedName name="вода_среднегод_2017">дефляторы!$J$7</definedName>
    <definedName name="вода_среднегод_2018">дефляторы!$K$7</definedName>
    <definedName name="вода_среднегод_2019">дефляторы!$L$7</definedName>
    <definedName name="вода_среднегод_2020">дефляторы!$M$7</definedName>
    <definedName name="вспомогательные_материалы_среднегод_2016">дефляторы!$I$6</definedName>
    <definedName name="вспомогательные_материалы_среднегод_2017">дефляторы!$J$6</definedName>
    <definedName name="вспомогательные_материалы_среднегод_2018">дефляторы!$K$6</definedName>
    <definedName name="вспомогательные_материалы_среднегод_2019">дефляторы!$L$6</definedName>
    <definedName name="вспомогательные_материалы_среднегод_2020">дефляторы!$M$6</definedName>
    <definedName name="вц" localSheetId="5" hidden="1">{"'Лист1'!$A$1:$W$63"}</definedName>
    <definedName name="вц" localSheetId="19" hidden="1">{"'Лист1'!$A$1:$W$63"}</definedName>
    <definedName name="вц" localSheetId="30" hidden="1">{"'Лист1'!$A$1:$W$63"}</definedName>
    <definedName name="вц" localSheetId="7" hidden="1">{"'Лист1'!$A$1:$W$63"}</definedName>
    <definedName name="вц" localSheetId="23" hidden="1">{"'Лист1'!$A$1:$W$63"}</definedName>
    <definedName name="вц" localSheetId="21" hidden="1">{"'Лист1'!$A$1:$W$63"}</definedName>
    <definedName name="вц" localSheetId="4" hidden="1">{"'Лист1'!$A$1:$W$63"}</definedName>
    <definedName name="вц" localSheetId="3" hidden="1">{"'Лист1'!$A$1:$W$63"}</definedName>
    <definedName name="вц" localSheetId="20" hidden="1">{"'Лист1'!$A$1:$W$63"}</definedName>
    <definedName name="вц" localSheetId="0" hidden="1">{"'Лист1'!$A$1:$W$63"}</definedName>
    <definedName name="вц" localSheetId="31" hidden="1">{"'Лист1'!$A$1:$W$63"}</definedName>
    <definedName name="вц" localSheetId="34" hidden="1">{"'Лист1'!$A$1:$W$63"}</definedName>
    <definedName name="вц" localSheetId="25" hidden="1">{"'Лист1'!$A$1:$W$63"}</definedName>
    <definedName name="вц" localSheetId="27" hidden="1">{"'Лист1'!$A$1:$W$63"}</definedName>
    <definedName name="вц" localSheetId="32" hidden="1">{"'Лист1'!$A$1:$W$63"}</definedName>
    <definedName name="вц" localSheetId="28" hidden="1">{"'Лист1'!$A$1:$W$63"}</definedName>
    <definedName name="вц" localSheetId="37" hidden="1">{"'Лист1'!$A$1:$W$63"}</definedName>
    <definedName name="вц" localSheetId="17" hidden="1">{"'Лист1'!$A$1:$W$63"}</definedName>
    <definedName name="вц" localSheetId="14" hidden="1">{"'Лист1'!$A$1:$W$63"}</definedName>
    <definedName name="вц" localSheetId="15" hidden="1">{"'Лист1'!$A$1:$W$63"}</definedName>
    <definedName name="вц" localSheetId="16" hidden="1">{"'Лист1'!$A$1:$W$63"}</definedName>
    <definedName name="вц" localSheetId="22" hidden="1">{"'Лист1'!$A$1:$W$63"}</definedName>
    <definedName name="вц" localSheetId="6" hidden="1">{"'Лист1'!$A$1:$W$63"}</definedName>
    <definedName name="вц" hidden="1">{"'Лист1'!$A$1:$W$63"}</definedName>
    <definedName name="выбор">списки!$G$3:$G$4</definedName>
    <definedName name="вывапва" localSheetId="5" hidden="1">{"'Лист1'!$A$1:$W$63"}</definedName>
    <definedName name="вывапва" localSheetId="19" hidden="1">{"'Лист1'!$A$1:$W$63"}</definedName>
    <definedName name="вывапва" localSheetId="30" hidden="1">{"'Лист1'!$A$1:$W$63"}</definedName>
    <definedName name="вывапва" localSheetId="7" hidden="1">{"'Лист1'!$A$1:$W$63"}</definedName>
    <definedName name="вывапва" localSheetId="23" hidden="1">{"'Лист1'!$A$1:$W$63"}</definedName>
    <definedName name="вывапва" localSheetId="21" hidden="1">{"'Лист1'!$A$1:$W$63"}</definedName>
    <definedName name="вывапва" localSheetId="4" hidden="1">{"'Лист1'!$A$1:$W$63"}</definedName>
    <definedName name="вывапва" localSheetId="3" hidden="1">{"'Лист1'!$A$1:$W$63"}</definedName>
    <definedName name="вывапва" localSheetId="20" hidden="1">{"'Лист1'!$A$1:$W$63"}</definedName>
    <definedName name="вывапва" localSheetId="0" hidden="1">{"'Лист1'!$A$1:$W$63"}</definedName>
    <definedName name="вывапва" localSheetId="31" hidden="1">{"'Лист1'!$A$1:$W$63"}</definedName>
    <definedName name="вывапва" localSheetId="34" hidden="1">{"'Лист1'!$A$1:$W$63"}</definedName>
    <definedName name="вывапва" localSheetId="25" hidden="1">{"'Лист1'!$A$1:$W$63"}</definedName>
    <definedName name="вывапва" localSheetId="27" hidden="1">{"'Лист1'!$A$1:$W$63"}</definedName>
    <definedName name="вывапва" localSheetId="32" hidden="1">{"'Лист1'!$A$1:$W$63"}</definedName>
    <definedName name="вывапва" localSheetId="28" hidden="1">{"'Лист1'!$A$1:$W$63"}</definedName>
    <definedName name="вывапва" localSheetId="37" hidden="1">{"'Лист1'!$A$1:$W$63"}</definedName>
    <definedName name="вывапва" localSheetId="17" hidden="1">{"'Лист1'!$A$1:$W$63"}</definedName>
    <definedName name="вывапва" localSheetId="14" hidden="1">{"'Лист1'!$A$1:$W$63"}</definedName>
    <definedName name="вывапва" localSheetId="15" hidden="1">{"'Лист1'!$A$1:$W$63"}</definedName>
    <definedName name="вывапва" localSheetId="16" hidden="1">{"'Лист1'!$A$1:$W$63"}</definedName>
    <definedName name="вывапва" localSheetId="22" hidden="1">{"'Лист1'!$A$1:$W$63"}</definedName>
    <definedName name="вывапва" localSheetId="6" hidden="1">{"'Лист1'!$A$1:$W$63"}</definedName>
    <definedName name="вывапва" hidden="1">{"'Лист1'!$A$1:$W$63"}</definedName>
    <definedName name="газ_среднегод_2016">дефляторы!$I$11</definedName>
    <definedName name="газ_среднегод_2017">дефляторы!$J$11</definedName>
    <definedName name="газ_среднегод_2018">дефляторы!$K$11</definedName>
    <definedName name="газ_среднегод_2019">дефляторы!$L$11</definedName>
    <definedName name="газ_среднегод_2020">дефляторы!$M$11</definedName>
    <definedName name="грузовой_транспорт_среднегод_2016">дефляторы!$I$17</definedName>
    <definedName name="грузовой_транспорт_среднегод_2017">дефляторы!$J$17</definedName>
    <definedName name="грузовой_транспорт_среднегод_2018">дефляторы!$K$17</definedName>
    <definedName name="грузовой_транспорт_среднегод_2019">дефляторы!$L$17</definedName>
    <definedName name="грузовой_транспорт_среднегод_2020">дефляторы!$M$17</definedName>
    <definedName name="декабрь" localSheetId="5" hidden="1">{"'Лист1'!$A$1:$W$63"}</definedName>
    <definedName name="декабрь" localSheetId="19" hidden="1">{"'Лист1'!$A$1:$W$63"}</definedName>
    <definedName name="декабрь" localSheetId="30" hidden="1">{"'Лист1'!$A$1:$W$63"}</definedName>
    <definedName name="декабрь" localSheetId="7" hidden="1">{"'Лист1'!$A$1:$W$63"}</definedName>
    <definedName name="декабрь" localSheetId="23" hidden="1">{"'Лист1'!$A$1:$W$63"}</definedName>
    <definedName name="декабрь" localSheetId="21" hidden="1">{"'Лист1'!$A$1:$W$63"}</definedName>
    <definedName name="декабрь" localSheetId="4" hidden="1">{"'Лист1'!$A$1:$W$63"}</definedName>
    <definedName name="декабрь" localSheetId="3" hidden="1">{"'Лист1'!$A$1:$W$63"}</definedName>
    <definedName name="декабрь" localSheetId="20" hidden="1">{"'Лист1'!$A$1:$W$63"}</definedName>
    <definedName name="декабрь" localSheetId="0" hidden="1">{"'Лист1'!$A$1:$W$63"}</definedName>
    <definedName name="декабрь" localSheetId="31" hidden="1">{"'Лист1'!$A$1:$W$63"}</definedName>
    <definedName name="декабрь" localSheetId="34" hidden="1">{"'Лист1'!$A$1:$W$63"}</definedName>
    <definedName name="декабрь" localSheetId="25" hidden="1">{"'Лист1'!$A$1:$W$63"}</definedName>
    <definedName name="декабрь" localSheetId="27" hidden="1">{"'Лист1'!$A$1:$W$63"}</definedName>
    <definedName name="декабрь" localSheetId="32" hidden="1">{"'Лист1'!$A$1:$W$63"}</definedName>
    <definedName name="декабрь" localSheetId="28" hidden="1">{"'Лист1'!$A$1:$W$63"}</definedName>
    <definedName name="декабрь" localSheetId="37" hidden="1">{"'Лист1'!$A$1:$W$63"}</definedName>
    <definedName name="декабрь" localSheetId="17" hidden="1">{"'Лист1'!$A$1:$W$63"}</definedName>
    <definedName name="декабрь" localSheetId="14" hidden="1">{"'Лист1'!$A$1:$W$63"}</definedName>
    <definedName name="декабрь" localSheetId="15" hidden="1">{"'Лист1'!$A$1:$W$63"}</definedName>
    <definedName name="декабрь" localSheetId="16" hidden="1">{"'Лист1'!$A$1:$W$63"}</definedName>
    <definedName name="декабрь" localSheetId="22" hidden="1">{"'Лист1'!$A$1:$W$63"}</definedName>
    <definedName name="декабрь" localSheetId="6" hidden="1">{"'Лист1'!$A$1:$W$63"}</definedName>
    <definedName name="декабрь" hidden="1">{"'Лист1'!$A$1:$W$63"}</definedName>
    <definedName name="дизельное_топливо_среднегод_2016">дефляторы!$I$14</definedName>
    <definedName name="дизельное_топливо_среднегод_2017">дефляторы!$J$14</definedName>
    <definedName name="дизельное_топливо_среднегод_2018">дефляторы!$K$14</definedName>
    <definedName name="дизельное_топливо_среднегод_2019">дефляторы!$L$14</definedName>
    <definedName name="дизельное_топливо_среднегод_2020">дефляторы!$M$14</definedName>
    <definedName name="дрова_среднегод_2016">дефляторы!$I$15</definedName>
    <definedName name="дрова_среднегод_2017">дефляторы!$J$15</definedName>
    <definedName name="дрова_среднегод_2018">дефляторы!$K$15</definedName>
    <definedName name="дрова_среднегод_2019">дефляторы!$L$15</definedName>
    <definedName name="дрова_среднегод_2020">дефляторы!$M$15</definedName>
    <definedName name="енгш" localSheetId="5" hidden="1">{"'Лист1'!$A$1:$W$63"}</definedName>
    <definedName name="енгш" localSheetId="19" hidden="1">{"'Лист1'!$A$1:$W$63"}</definedName>
    <definedName name="енгш" localSheetId="30" hidden="1">{"'Лист1'!$A$1:$W$63"}</definedName>
    <definedName name="енгш" localSheetId="7" hidden="1">{"'Лист1'!$A$1:$W$63"}</definedName>
    <definedName name="енгш" localSheetId="23" hidden="1">{"'Лист1'!$A$1:$W$63"}</definedName>
    <definedName name="енгш" localSheetId="21" hidden="1">{"'Лист1'!$A$1:$W$63"}</definedName>
    <definedName name="енгш" localSheetId="4" hidden="1">{"'Лист1'!$A$1:$W$63"}</definedName>
    <definedName name="енгш" localSheetId="3" hidden="1">{"'Лист1'!$A$1:$W$63"}</definedName>
    <definedName name="енгш" localSheetId="20" hidden="1">{"'Лист1'!$A$1:$W$63"}</definedName>
    <definedName name="енгш" localSheetId="0" hidden="1">{"'Лист1'!$A$1:$W$63"}</definedName>
    <definedName name="енгш" localSheetId="31" hidden="1">{"'Лист1'!$A$1:$W$63"}</definedName>
    <definedName name="енгш" localSheetId="34" hidden="1">{"'Лист1'!$A$1:$W$63"}</definedName>
    <definedName name="енгш" localSheetId="25" hidden="1">{"'Лист1'!$A$1:$W$63"}</definedName>
    <definedName name="енгш" localSheetId="27" hidden="1">{"'Лист1'!$A$1:$W$63"}</definedName>
    <definedName name="енгш" localSheetId="32" hidden="1">{"'Лист1'!$A$1:$W$63"}</definedName>
    <definedName name="енгш" localSheetId="28" hidden="1">{"'Лист1'!$A$1:$W$63"}</definedName>
    <definedName name="енгш" localSheetId="37" hidden="1">{"'Лист1'!$A$1:$W$63"}</definedName>
    <definedName name="енгш" localSheetId="17" hidden="1">{"'Лист1'!$A$1:$W$63"}</definedName>
    <definedName name="енгш" localSheetId="14" hidden="1">{"'Лист1'!$A$1:$W$63"}</definedName>
    <definedName name="енгш" localSheetId="15" hidden="1">{"'Лист1'!$A$1:$W$63"}</definedName>
    <definedName name="енгш" localSheetId="16" hidden="1">{"'Лист1'!$A$1:$W$63"}</definedName>
    <definedName name="енгш" localSheetId="22" hidden="1">{"'Лист1'!$A$1:$W$63"}</definedName>
    <definedName name="енгш" localSheetId="6" hidden="1">{"'Лист1'!$A$1:$W$63"}</definedName>
    <definedName name="енгш" hidden="1">{"'Лист1'!$A$1:$W$63"}</definedName>
    <definedName name="жд_перевозки_2016">дефляторы!$I$16</definedName>
    <definedName name="жд_перевозки_2017">дефляторы!$J$16</definedName>
    <definedName name="жд_перевозки_2018">дефляторы!$K$16</definedName>
    <definedName name="жд_перевозки_2019">дефляторы!$L$16</definedName>
    <definedName name="жд_перевозки_2020">дефляторы!$M$16</definedName>
    <definedName name="зарплата_среднегод_2016">дефляторы!$I$21</definedName>
    <definedName name="зарплата_среднегод_2017">дефляторы!$J$21</definedName>
    <definedName name="зарплата_среднегод_2018">дефляторы!$K$21</definedName>
    <definedName name="зарплата_среднегод_2019">дефляторы!$L$21</definedName>
    <definedName name="зарплата_среднегод_2020">дефляторы!$M$21</definedName>
    <definedName name="ИНН">списки!$M$2:$M$185</definedName>
    <definedName name="ИПЦ_среднегод_2016">дефляторы!$I$31</definedName>
    <definedName name="ИПЦ_среднегод_2017">дефляторы!$J$31</definedName>
    <definedName name="ИПЦ_среднегод_2018">дефляторы!$K$31</definedName>
    <definedName name="ИПЦ_среднегод_2019">дефляторы!$L$31</definedName>
    <definedName name="ИПЦ_среднегод_2020">дефляторы!$M$31</definedName>
    <definedName name="источники">списки!$B$59:$B$60</definedName>
    <definedName name="КПП1" localSheetId="5" hidden="1">{"'Лист1'!$A$1:$W$63"}</definedName>
    <definedName name="КПП1" localSheetId="19" hidden="1">{"'Лист1'!$A$1:$W$63"}</definedName>
    <definedName name="КПП1" localSheetId="30" hidden="1">{"'Лист1'!$A$1:$W$63"}</definedName>
    <definedName name="КПП1" localSheetId="7" hidden="1">{"'Лист1'!$A$1:$W$63"}</definedName>
    <definedName name="КПП1" localSheetId="23" hidden="1">{"'Лист1'!$A$1:$W$63"}</definedName>
    <definedName name="КПП1" localSheetId="21" hidden="1">{"'Лист1'!$A$1:$W$63"}</definedName>
    <definedName name="КПП1" localSheetId="4" hidden="1">{"'Лист1'!$A$1:$W$63"}</definedName>
    <definedName name="КПП1" localSheetId="3" hidden="1">{"'Лист1'!$A$1:$W$63"}</definedName>
    <definedName name="КПП1" localSheetId="20" hidden="1">{"'Лист1'!$A$1:$W$63"}</definedName>
    <definedName name="КПП1" localSheetId="0" hidden="1">{"'Лист1'!$A$1:$W$63"}</definedName>
    <definedName name="КПП1" localSheetId="31" hidden="1">{"'Лист1'!$A$1:$W$63"}</definedName>
    <definedName name="КПП1" localSheetId="34" hidden="1">{"'Лист1'!$A$1:$W$63"}</definedName>
    <definedName name="КПП1" localSheetId="25" hidden="1">{"'Лист1'!$A$1:$W$63"}</definedName>
    <definedName name="КПП1" localSheetId="27" hidden="1">{"'Лист1'!$A$1:$W$63"}</definedName>
    <definedName name="КПП1" localSheetId="32" hidden="1">{"'Лист1'!$A$1:$W$63"}</definedName>
    <definedName name="КПП1" localSheetId="28" hidden="1">{"'Лист1'!$A$1:$W$63"}</definedName>
    <definedName name="КПП1" localSheetId="37" hidden="1">{"'Лист1'!$A$1:$W$63"}</definedName>
    <definedName name="КПП1" localSheetId="17" hidden="1">{"'Лист1'!$A$1:$W$63"}</definedName>
    <definedName name="КПП1" localSheetId="14" hidden="1">{"'Лист1'!$A$1:$W$63"}</definedName>
    <definedName name="КПП1" localSheetId="15" hidden="1">{"'Лист1'!$A$1:$W$63"}</definedName>
    <definedName name="КПП1" localSheetId="16" hidden="1">{"'Лист1'!$A$1:$W$63"}</definedName>
    <definedName name="КПП1" localSheetId="22" hidden="1">{"'Лист1'!$A$1:$W$63"}</definedName>
    <definedName name="КПП1" localSheetId="6" hidden="1">{"'Лист1'!$A$1:$W$63"}</definedName>
    <definedName name="КПП1" hidden="1">{"'Лист1'!$A$1:$W$63"}</definedName>
    <definedName name="мазут_среднегод_2016">дефляторы!$I$12</definedName>
    <definedName name="мазут_среднегод_2017">дефляторы!$J$12</definedName>
    <definedName name="мазут_среднегод_2018">дефляторы!$K$12</definedName>
    <definedName name="мазут_среднегод_2019">дефляторы!$L$12</definedName>
    <definedName name="мазут_среднегод_2020">дефляторы!$M$12</definedName>
    <definedName name="ми" localSheetId="5" hidden="1">{"'Лист1'!$A$1:$W$63"}</definedName>
    <definedName name="ми" localSheetId="19" hidden="1">{"'Лист1'!$A$1:$W$63"}</definedName>
    <definedName name="ми" localSheetId="30" hidden="1">{"'Лист1'!$A$1:$W$63"}</definedName>
    <definedName name="ми" localSheetId="7" hidden="1">{"'Лист1'!$A$1:$W$63"}</definedName>
    <definedName name="ми" localSheetId="23" hidden="1">{"'Лист1'!$A$1:$W$63"}</definedName>
    <definedName name="ми" localSheetId="21" hidden="1">{"'Лист1'!$A$1:$W$63"}</definedName>
    <definedName name="ми" localSheetId="4" hidden="1">{"'Лист1'!$A$1:$W$63"}</definedName>
    <definedName name="ми" localSheetId="3" hidden="1">{"'Лист1'!$A$1:$W$63"}</definedName>
    <definedName name="ми" localSheetId="20" hidden="1">{"'Лист1'!$A$1:$W$63"}</definedName>
    <definedName name="ми" localSheetId="0" hidden="1">{"'Лист1'!$A$1:$W$63"}</definedName>
    <definedName name="ми" localSheetId="31" hidden="1">{"'Лист1'!$A$1:$W$63"}</definedName>
    <definedName name="ми" localSheetId="34" hidden="1">{"'Лист1'!$A$1:$W$63"}</definedName>
    <definedName name="ми" localSheetId="25" hidden="1">{"'Лист1'!$A$1:$W$63"}</definedName>
    <definedName name="ми" localSheetId="27" hidden="1">{"'Лист1'!$A$1:$W$63"}</definedName>
    <definedName name="ми" localSheetId="32" hidden="1">{"'Лист1'!$A$1:$W$63"}</definedName>
    <definedName name="ми" localSheetId="28" hidden="1">{"'Лист1'!$A$1:$W$63"}</definedName>
    <definedName name="ми" localSheetId="37" hidden="1">{"'Лист1'!$A$1:$W$63"}</definedName>
    <definedName name="ми" localSheetId="17" hidden="1">{"'Лист1'!$A$1:$W$63"}</definedName>
    <definedName name="ми" localSheetId="14" hidden="1">{"'Лист1'!$A$1:$W$63"}</definedName>
    <definedName name="ми" localSheetId="15" hidden="1">{"'Лист1'!$A$1:$W$63"}</definedName>
    <definedName name="ми" localSheetId="16" hidden="1">{"'Лист1'!$A$1:$W$63"}</definedName>
    <definedName name="ми" localSheetId="22" hidden="1">{"'Лист1'!$A$1:$W$63"}</definedName>
    <definedName name="ми" localSheetId="6" hidden="1">{"'Лист1'!$A$1:$W$63"}</definedName>
    <definedName name="ми" hidden="1">{"'Лист1'!$A$1:$W$63"}</definedName>
    <definedName name="муниципальное_образование">списки!$C$3:$C$129</definedName>
    <definedName name="налоги_среднегод_2019">дефляторы!$AA$24</definedName>
    <definedName name="ндс">списки!$B$3:$B$4</definedName>
    <definedName name="нефть_среднегод_2016">дефляторы!$I$13</definedName>
    <definedName name="нефть_среднегод_2017">дефляторы!$J$13</definedName>
    <definedName name="нефть_среднегод_2018">дефляторы!$K$13</definedName>
    <definedName name="нефть_среднегод_2019">дефляторы!$L$13</definedName>
    <definedName name="нефть_среднегод_2020">дефляторы!$M$13</definedName>
    <definedName name="об" localSheetId="5" hidden="1">{"'Лист1'!$A$1:$W$63"}</definedName>
    <definedName name="об" localSheetId="19" hidden="1">{"'Лист1'!$A$1:$W$63"}</definedName>
    <definedName name="об" localSheetId="30" hidden="1">{"'Лист1'!$A$1:$W$63"}</definedName>
    <definedName name="об" localSheetId="7" hidden="1">{"'Лист1'!$A$1:$W$63"}</definedName>
    <definedName name="об" localSheetId="23" hidden="1">{"'Лист1'!$A$1:$W$63"}</definedName>
    <definedName name="об" localSheetId="21" hidden="1">{"'Лист1'!$A$1:$W$63"}</definedName>
    <definedName name="об" localSheetId="4" hidden="1">{"'Лист1'!$A$1:$W$63"}</definedName>
    <definedName name="об" localSheetId="3" hidden="1">{"'Лист1'!$A$1:$W$63"}</definedName>
    <definedName name="об" localSheetId="20" hidden="1">{"'Лист1'!$A$1:$W$63"}</definedName>
    <definedName name="об" localSheetId="0" hidden="1">{"'Лист1'!$A$1:$W$63"}</definedName>
    <definedName name="об" localSheetId="31" hidden="1">{"'Лист1'!$A$1:$W$63"}</definedName>
    <definedName name="об" localSheetId="34" hidden="1">{"'Лист1'!$A$1:$W$63"}</definedName>
    <definedName name="об" localSheetId="25" hidden="1">{"'Лист1'!$A$1:$W$63"}</definedName>
    <definedName name="об" localSheetId="27" hidden="1">{"'Лист1'!$A$1:$W$63"}</definedName>
    <definedName name="об" localSheetId="32" hidden="1">{"'Лист1'!$A$1:$W$63"}</definedName>
    <definedName name="об" localSheetId="28" hidden="1">{"'Лист1'!$A$1:$W$63"}</definedName>
    <definedName name="об" localSheetId="37" hidden="1">{"'Лист1'!$A$1:$W$63"}</definedName>
    <definedName name="об" localSheetId="17" hidden="1">{"'Лист1'!$A$1:$W$63"}</definedName>
    <definedName name="об" localSheetId="14" hidden="1">{"'Лист1'!$A$1:$W$63"}</definedName>
    <definedName name="об" localSheetId="15" hidden="1">{"'Лист1'!$A$1:$W$63"}</definedName>
    <definedName name="об" localSheetId="16" hidden="1">{"'Лист1'!$A$1:$W$63"}</definedName>
    <definedName name="об" localSheetId="22" hidden="1">{"'Лист1'!$A$1:$W$63"}</definedName>
    <definedName name="об" localSheetId="6" hidden="1">{"'Лист1'!$A$1:$W$63"}</definedName>
    <definedName name="об" hidden="1">{"'Лист1'!$A$1:$W$63"}</definedName>
    <definedName name="осн">списки!$K$3</definedName>
    <definedName name="охр">списки!$B$63:$B$65</definedName>
    <definedName name="период_регулирования">списки!$H$30:$H$31</definedName>
    <definedName name="ппп" localSheetId="5" hidden="1">{"'Лист1'!$A$1:$W$63"}</definedName>
    <definedName name="ппп" localSheetId="19" hidden="1">{"'Лист1'!$A$1:$W$63"}</definedName>
    <definedName name="ппп" localSheetId="30" hidden="1">{"'Лист1'!$A$1:$W$63"}</definedName>
    <definedName name="ппп" localSheetId="7" hidden="1">{"'Лист1'!$A$1:$W$63"}</definedName>
    <definedName name="ппп" localSheetId="23" hidden="1">{"'Лист1'!$A$1:$W$63"}</definedName>
    <definedName name="ппп" localSheetId="21" hidden="1">{"'Лист1'!$A$1:$W$63"}</definedName>
    <definedName name="ппп" localSheetId="4" hidden="1">{"'Лист1'!$A$1:$W$63"}</definedName>
    <definedName name="ппп" localSheetId="3" hidden="1">{"'Лист1'!$A$1:$W$63"}</definedName>
    <definedName name="ппп" localSheetId="20" hidden="1">{"'Лист1'!$A$1:$W$63"}</definedName>
    <definedName name="ппп" localSheetId="0" hidden="1">{"'Лист1'!$A$1:$W$63"}</definedName>
    <definedName name="ппп" localSheetId="31" hidden="1">{"'Лист1'!$A$1:$W$63"}</definedName>
    <definedName name="ппп" localSheetId="34" hidden="1">{"'Лист1'!$A$1:$W$63"}</definedName>
    <definedName name="ппп" localSheetId="25" hidden="1">{"'Лист1'!$A$1:$W$63"}</definedName>
    <definedName name="ппп" localSheetId="27" hidden="1">{"'Лист1'!$A$1:$W$63"}</definedName>
    <definedName name="ппп" localSheetId="32" hidden="1">{"'Лист1'!$A$1:$W$63"}</definedName>
    <definedName name="ппп" localSheetId="28" hidden="1">{"'Лист1'!$A$1:$W$63"}</definedName>
    <definedName name="ппп" localSheetId="37" hidden="1">{"'Лист1'!$A$1:$W$63"}</definedName>
    <definedName name="ппп" localSheetId="17" hidden="1">{"'Лист1'!$A$1:$W$63"}</definedName>
    <definedName name="ппп" localSheetId="14" hidden="1">{"'Лист1'!$A$1:$W$63"}</definedName>
    <definedName name="ппп" localSheetId="15" hidden="1">{"'Лист1'!$A$1:$W$63"}</definedName>
    <definedName name="ппп" localSheetId="16" hidden="1">{"'Лист1'!$A$1:$W$63"}</definedName>
    <definedName name="ппп" localSheetId="22" hidden="1">{"'Лист1'!$A$1:$W$63"}</definedName>
    <definedName name="ппп" localSheetId="6" hidden="1">{"'Лист1'!$A$1:$W$63"}</definedName>
    <definedName name="ппп" hidden="1">{"'Лист1'!$A$1:$W$63"}</definedName>
    <definedName name="пр" localSheetId="5" hidden="1">{"'Лист1'!$A$1:$W$63"}</definedName>
    <definedName name="пр" localSheetId="19" hidden="1">{"'Лист1'!$A$1:$W$63"}</definedName>
    <definedName name="пр" localSheetId="30" hidden="1">{"'Лист1'!$A$1:$W$63"}</definedName>
    <definedName name="пр" localSheetId="7" hidden="1">{"'Лист1'!$A$1:$W$63"}</definedName>
    <definedName name="пр" localSheetId="23" hidden="1">{"'Лист1'!$A$1:$W$63"}</definedName>
    <definedName name="пр" localSheetId="21" hidden="1">{"'Лист1'!$A$1:$W$63"}</definedName>
    <definedName name="пр" localSheetId="4" hidden="1">{"'Лист1'!$A$1:$W$63"}</definedName>
    <definedName name="пр" localSheetId="3" hidden="1">{"'Лист1'!$A$1:$W$63"}</definedName>
    <definedName name="пр" localSheetId="20" hidden="1">{"'Лист1'!$A$1:$W$63"}</definedName>
    <definedName name="пр" localSheetId="0" hidden="1">{"'Лист1'!$A$1:$W$63"}</definedName>
    <definedName name="пр" localSheetId="31" hidden="1">{"'Лист1'!$A$1:$W$63"}</definedName>
    <definedName name="пр" localSheetId="34" hidden="1">{"'Лист1'!$A$1:$W$63"}</definedName>
    <definedName name="пр" localSheetId="25" hidden="1">{"'Лист1'!$A$1:$W$63"}</definedName>
    <definedName name="пр" localSheetId="27" hidden="1">{"'Лист1'!$A$1:$W$63"}</definedName>
    <definedName name="пр" localSheetId="32" hidden="1">{"'Лист1'!$A$1:$W$63"}</definedName>
    <definedName name="пр" localSheetId="28" hidden="1">{"'Лист1'!$A$1:$W$63"}</definedName>
    <definedName name="пр" localSheetId="37" hidden="1">{"'Лист1'!$A$1:$W$63"}</definedName>
    <definedName name="пр" localSheetId="17" hidden="1">{"'Лист1'!$A$1:$W$63"}</definedName>
    <definedName name="пр" localSheetId="14" hidden="1">{"'Лист1'!$A$1:$W$63"}</definedName>
    <definedName name="пр" localSheetId="15" hidden="1">{"'Лист1'!$A$1:$W$63"}</definedName>
    <definedName name="пр" localSheetId="16" hidden="1">{"'Лист1'!$A$1:$W$63"}</definedName>
    <definedName name="пр" localSheetId="22" hidden="1">{"'Лист1'!$A$1:$W$63"}</definedName>
    <definedName name="пр" localSheetId="6" hidden="1">{"'Лист1'!$A$1:$W$63"}</definedName>
    <definedName name="пр" hidden="1">{"'Лист1'!$A$1:$W$63"}</definedName>
    <definedName name="приказтариф">списки!$H$23:$H$26</definedName>
    <definedName name="про" localSheetId="5" hidden="1">{"'Лист1'!$A$1:$W$63"}</definedName>
    <definedName name="про" localSheetId="19" hidden="1">{"'Лист1'!$A$1:$W$63"}</definedName>
    <definedName name="про" localSheetId="30" hidden="1">{"'Лист1'!$A$1:$W$63"}</definedName>
    <definedName name="про" localSheetId="7" hidden="1">{"'Лист1'!$A$1:$W$63"}</definedName>
    <definedName name="про" localSheetId="23" hidden="1">{"'Лист1'!$A$1:$W$63"}</definedName>
    <definedName name="про" localSheetId="21" hidden="1">{"'Лист1'!$A$1:$W$63"}</definedName>
    <definedName name="про" localSheetId="4" hidden="1">{"'Лист1'!$A$1:$W$63"}</definedName>
    <definedName name="про" localSheetId="3" hidden="1">{"'Лист1'!$A$1:$W$63"}</definedName>
    <definedName name="про" localSheetId="20" hidden="1">{"'Лист1'!$A$1:$W$63"}</definedName>
    <definedName name="про" localSheetId="0" hidden="1">{"'Лист1'!$A$1:$W$63"}</definedName>
    <definedName name="про" localSheetId="31" hidden="1">{"'Лист1'!$A$1:$W$63"}</definedName>
    <definedName name="про" localSheetId="34" hidden="1">{"'Лист1'!$A$1:$W$63"}</definedName>
    <definedName name="про" localSheetId="25" hidden="1">{"'Лист1'!$A$1:$W$63"}</definedName>
    <definedName name="про" localSheetId="27" hidden="1">{"'Лист1'!$A$1:$W$63"}</definedName>
    <definedName name="про" localSheetId="32" hidden="1">{"'Лист1'!$A$1:$W$63"}</definedName>
    <definedName name="про" localSheetId="28" hidden="1">{"'Лист1'!$A$1:$W$63"}</definedName>
    <definedName name="про" localSheetId="37" hidden="1">{"'Лист1'!$A$1:$W$63"}</definedName>
    <definedName name="про" localSheetId="17" hidden="1">{"'Лист1'!$A$1:$W$63"}</definedName>
    <definedName name="про" localSheetId="14" hidden="1">{"'Лист1'!$A$1:$W$63"}</definedName>
    <definedName name="про" localSheetId="15" hidden="1">{"'Лист1'!$A$1:$W$63"}</definedName>
    <definedName name="про" localSheetId="16" hidden="1">{"'Лист1'!$A$1:$W$63"}</definedName>
    <definedName name="про" localSheetId="22" hidden="1">{"'Лист1'!$A$1:$W$63"}</definedName>
    <definedName name="про" localSheetId="6" hidden="1">{"'Лист1'!$A$1:$W$63"}</definedName>
    <definedName name="про" hidden="1">{"'Лист1'!$A$1:$W$63"}</definedName>
    <definedName name="прочие_затраты_с_01.07.2019">дефляторы!$Z$26</definedName>
    <definedName name="прочие_затраты_среднегод_2016">дефляторы!$I$26</definedName>
    <definedName name="прочие_затраты_среднегод_2017">дефляторы!$J$26</definedName>
    <definedName name="прочие_затраты_среднегод_2018">дефляторы!$K$26</definedName>
    <definedName name="прочие_затраты_среднегод_2019">дефляторы!$L$26</definedName>
    <definedName name="прочие_затраты_среднегод_2020">дефляторы!$M$26</definedName>
    <definedName name="район">списки!$A$3:$A$22</definedName>
    <definedName name="реестр" localSheetId="5" hidden="1">{"'Лист1'!$A$1:$W$63"}</definedName>
    <definedName name="реестр" localSheetId="19" hidden="1">{"'Лист1'!$A$1:$W$63"}</definedName>
    <definedName name="реестр" localSheetId="30" hidden="1">{"'Лист1'!$A$1:$W$63"}</definedName>
    <definedName name="реестр" localSheetId="7" hidden="1">{"'Лист1'!$A$1:$W$63"}</definedName>
    <definedName name="реестр" localSheetId="23" hidden="1">{"'Лист1'!$A$1:$W$63"}</definedName>
    <definedName name="реестр" localSheetId="21" hidden="1">{"'Лист1'!$A$1:$W$63"}</definedName>
    <definedName name="реестр" localSheetId="4" hidden="1">{"'Лист1'!$A$1:$W$63"}</definedName>
    <definedName name="реестр" localSheetId="3" hidden="1">{"'Лист1'!$A$1:$W$63"}</definedName>
    <definedName name="реестр" localSheetId="20" hidden="1">{"'Лист1'!$A$1:$W$63"}</definedName>
    <definedName name="реестр" localSheetId="0" hidden="1">{"'Лист1'!$A$1:$W$63"}</definedName>
    <definedName name="реестр" localSheetId="31" hidden="1">{"'Лист1'!$A$1:$W$63"}</definedName>
    <definedName name="реестр" localSheetId="34" hidden="1">{"'Лист1'!$A$1:$W$63"}</definedName>
    <definedName name="реестр" localSheetId="25" hidden="1">{"'Лист1'!$A$1:$W$63"}</definedName>
    <definedName name="реестр" localSheetId="27" hidden="1">{"'Лист1'!$A$1:$W$63"}</definedName>
    <definedName name="реестр" localSheetId="32" hidden="1">{"'Лист1'!$A$1:$W$63"}</definedName>
    <definedName name="реестр" localSheetId="28" hidden="1">{"'Лист1'!$A$1:$W$63"}</definedName>
    <definedName name="реестр" localSheetId="37" hidden="1">{"'Лист1'!$A$1:$W$63"}</definedName>
    <definedName name="реестр" localSheetId="17" hidden="1">{"'Лист1'!$A$1:$W$63"}</definedName>
    <definedName name="реестр" localSheetId="14" hidden="1">{"'Лист1'!$A$1:$W$63"}</definedName>
    <definedName name="реестр" localSheetId="15" hidden="1">{"'Лист1'!$A$1:$W$63"}</definedName>
    <definedName name="реестр" localSheetId="16" hidden="1">{"'Лист1'!$A$1:$W$63"}</definedName>
    <definedName name="реестр" localSheetId="22" hidden="1">{"'Лист1'!$A$1:$W$63"}</definedName>
    <definedName name="реестр" localSheetId="6" hidden="1">{"'Лист1'!$A$1:$W$63"}</definedName>
    <definedName name="реестр" hidden="1">{"'Лист1'!$A$1:$W$63"}</definedName>
    <definedName name="ррр" localSheetId="5" hidden="1">{"'Лист1'!$A$1:$W$63"}</definedName>
    <definedName name="ррр" localSheetId="19" hidden="1">{"'Лист1'!$A$1:$W$63"}</definedName>
    <definedName name="ррр" localSheetId="30" hidden="1">{"'Лист1'!$A$1:$W$63"}</definedName>
    <definedName name="ррр" localSheetId="7" hidden="1">{"'Лист1'!$A$1:$W$63"}</definedName>
    <definedName name="ррр" localSheetId="23" hidden="1">{"'Лист1'!$A$1:$W$63"}</definedName>
    <definedName name="ррр" localSheetId="21" hidden="1">{"'Лист1'!$A$1:$W$63"}</definedName>
    <definedName name="ррр" localSheetId="4" hidden="1">{"'Лист1'!$A$1:$W$63"}</definedName>
    <definedName name="ррр" localSheetId="3" hidden="1">{"'Лист1'!$A$1:$W$63"}</definedName>
    <definedName name="ррр" localSheetId="20" hidden="1">{"'Лист1'!$A$1:$W$63"}</definedName>
    <definedName name="ррр" localSheetId="0" hidden="1">{"'Лист1'!$A$1:$W$63"}</definedName>
    <definedName name="ррр" localSheetId="31" hidden="1">{"'Лист1'!$A$1:$W$63"}</definedName>
    <definedName name="ррр" localSheetId="34" hidden="1">{"'Лист1'!$A$1:$W$63"}</definedName>
    <definedName name="ррр" localSheetId="25" hidden="1">{"'Лист1'!$A$1:$W$63"}</definedName>
    <definedName name="ррр" localSheetId="27" hidden="1">{"'Лист1'!$A$1:$W$63"}</definedName>
    <definedName name="ррр" localSheetId="32" hidden="1">{"'Лист1'!$A$1:$W$63"}</definedName>
    <definedName name="ррр" localSheetId="28" hidden="1">{"'Лист1'!$A$1:$W$63"}</definedName>
    <definedName name="ррр" localSheetId="37" hidden="1">{"'Лист1'!$A$1:$W$63"}</definedName>
    <definedName name="ррр" localSheetId="17" hidden="1">{"'Лист1'!$A$1:$W$63"}</definedName>
    <definedName name="ррр" localSheetId="14" hidden="1">{"'Лист1'!$A$1:$W$63"}</definedName>
    <definedName name="ррр" localSheetId="15" hidden="1">{"'Лист1'!$A$1:$W$63"}</definedName>
    <definedName name="ррр" localSheetId="16" hidden="1">{"'Лист1'!$A$1:$W$63"}</definedName>
    <definedName name="ррр" localSheetId="22" hidden="1">{"'Лист1'!$A$1:$W$63"}</definedName>
    <definedName name="ррр" localSheetId="6" hidden="1">{"'Лист1'!$A$1:$W$63"}</definedName>
    <definedName name="ррр" hidden="1">{"'Лист1'!$A$1:$W$63"}</definedName>
    <definedName name="система_налогообложения">списки!$I$3:$I$4</definedName>
    <definedName name="Спецод.2007г." localSheetId="5" hidden="1">{"'Лист1'!$A$1:$W$63"}</definedName>
    <definedName name="Спецод.2007г." localSheetId="19" hidden="1">{"'Лист1'!$A$1:$W$63"}</definedName>
    <definedName name="Спецод.2007г." localSheetId="30" hidden="1">{"'Лист1'!$A$1:$W$63"}</definedName>
    <definedName name="Спецод.2007г." localSheetId="7" hidden="1">{"'Лист1'!$A$1:$W$63"}</definedName>
    <definedName name="Спецод.2007г." localSheetId="23" hidden="1">{"'Лист1'!$A$1:$W$63"}</definedName>
    <definedName name="Спецод.2007г." localSheetId="21" hidden="1">{"'Лист1'!$A$1:$W$63"}</definedName>
    <definedName name="Спецод.2007г." localSheetId="4" hidden="1">{"'Лист1'!$A$1:$W$63"}</definedName>
    <definedName name="Спецод.2007г." localSheetId="3" hidden="1">{"'Лист1'!$A$1:$W$63"}</definedName>
    <definedName name="Спецод.2007г." localSheetId="20" hidden="1">{"'Лист1'!$A$1:$W$63"}</definedName>
    <definedName name="Спецод.2007г." localSheetId="0" hidden="1">{"'Лист1'!$A$1:$W$63"}</definedName>
    <definedName name="Спецод.2007г." localSheetId="31" hidden="1">{"'Лист1'!$A$1:$W$63"}</definedName>
    <definedName name="Спецод.2007г." localSheetId="34" hidden="1">{"'Лист1'!$A$1:$W$63"}</definedName>
    <definedName name="Спецод.2007г." localSheetId="25" hidden="1">{"'Лист1'!$A$1:$W$63"}</definedName>
    <definedName name="Спецод.2007г." localSheetId="27" hidden="1">{"'Лист1'!$A$1:$W$63"}</definedName>
    <definedName name="Спецод.2007г." localSheetId="32" hidden="1">{"'Лист1'!$A$1:$W$63"}</definedName>
    <definedName name="Спецод.2007г." localSheetId="28" hidden="1">{"'Лист1'!$A$1:$W$63"}</definedName>
    <definedName name="Спецод.2007г." localSheetId="37" hidden="1">{"'Лист1'!$A$1:$W$63"}</definedName>
    <definedName name="Спецод.2007г." localSheetId="17" hidden="1">{"'Лист1'!$A$1:$W$63"}</definedName>
    <definedName name="Спецод.2007г." localSheetId="14" hidden="1">{"'Лист1'!$A$1:$W$63"}</definedName>
    <definedName name="Спецод.2007г." localSheetId="15" hidden="1">{"'Лист1'!$A$1:$W$63"}</definedName>
    <definedName name="Спецод.2007г." localSheetId="16" hidden="1">{"'Лист1'!$A$1:$W$63"}</definedName>
    <definedName name="Спецод.2007г." localSheetId="22" hidden="1">{"'Лист1'!$A$1:$W$63"}</definedName>
    <definedName name="Спецод.2007г." localSheetId="6" hidden="1">{"'Лист1'!$A$1:$W$63"}</definedName>
    <definedName name="Спецод.2007г." hidden="1">{"'Лист1'!$A$1:$W$63"}</definedName>
    <definedName name="стадия">списки!$B$54:$B$56</definedName>
    <definedName name="тариф">списки!$B$38:$B$42</definedName>
    <definedName name="тарифприказ">списки!$B$68:$B$71</definedName>
    <definedName name="теплоэнергия_среднегод_2016">дефляторы!$I$20</definedName>
    <definedName name="теплоэнергия_среднегод_2017">дефляторы!$J$20</definedName>
    <definedName name="теплоэнергия_среднегод_2018">дефляторы!$K$20</definedName>
    <definedName name="теплоэнергия_среднегод_2019">дефляторы!$L$20</definedName>
    <definedName name="теплоэнергия_среднегод_2020">дефляторы!$M$20</definedName>
    <definedName name="товар">списки!$B$73:$B$76</definedName>
    <definedName name="уголь_среднегод_2016">дефляторы!$I$10</definedName>
    <definedName name="уголь_среднегод_2017">дефляторы!$J$10</definedName>
    <definedName name="уголь_среднегод_2018">дефляторы!$K$10</definedName>
    <definedName name="уголь_среднегод_2019">дефляторы!$L$10</definedName>
    <definedName name="уголь_среднегод_2020">дефляторы!$M$10</definedName>
    <definedName name="услуги_произв_характера_среднегод_2016">дефляторы!$I$8</definedName>
    <definedName name="услуги_произв_характера_среднегод_2017">дефляторы!$J$8</definedName>
    <definedName name="услуги_произв_характера_среднегод_2018">дефляторы!$K$8</definedName>
    <definedName name="услуги_произв_характера_среднегод_2019">дефляторы!$L$8</definedName>
    <definedName name="услуги_произв_характера_среднегод_2020">дефляторы!$M$8</definedName>
    <definedName name="усн">списки!$L$3:$L$4</definedName>
    <definedName name="уснбаза">списки!$K$3:$K$4</definedName>
    <definedName name="электроэнергия_среднегод_2016">дефляторы!$I$19</definedName>
    <definedName name="электроэнергия_среднегод_2017">дефляторы!$J$19</definedName>
    <definedName name="электроэнергия_среднегод_2018">дефляторы!$K$19</definedName>
    <definedName name="электроэнергия_среднегод_2019">дефляторы!$L$19</definedName>
    <definedName name="электроэнергия_среднегод_2020">дефляторы!$M$19</definedName>
  </definedNames>
  <calcPr calcId="145621"/>
</workbook>
</file>

<file path=xl/calcChain.xml><?xml version="1.0" encoding="utf-8"?>
<calcChain xmlns="http://schemas.openxmlformats.org/spreadsheetml/2006/main">
  <c r="O106" i="47" l="1"/>
  <c r="D23" i="7"/>
  <c r="D11" i="7" l="1"/>
  <c r="F15" i="53" l="1"/>
  <c r="M13" i="49" l="1"/>
  <c r="M12" i="49"/>
  <c r="P19" i="53" l="1"/>
  <c r="F19" i="53"/>
  <c r="L78" i="23" l="1"/>
  <c r="L24" i="23" l="1"/>
  <c r="L28" i="23"/>
  <c r="BX2" i="32" l="1"/>
  <c r="BW2" i="32"/>
  <c r="AE2" i="32" l="1"/>
  <c r="C12" i="27" l="1"/>
  <c r="S2" i="32" l="1"/>
  <c r="E166" i="25" l="1"/>
  <c r="E33" i="25" l="1"/>
  <c r="O103" i="47" l="1"/>
  <c r="O102" i="47"/>
  <c r="O101" i="47"/>
  <c r="O100" i="47"/>
  <c r="O97" i="47"/>
  <c r="I37" i="13" l="1"/>
  <c r="R30" i="43" l="1"/>
  <c r="S30" i="43"/>
  <c r="T30" i="43"/>
  <c r="U30" i="43"/>
  <c r="V30" i="43"/>
  <c r="W30" i="43"/>
  <c r="Q30" i="43"/>
  <c r="D30" i="43"/>
  <c r="E30" i="43"/>
  <c r="F30" i="43"/>
  <c r="G30" i="43"/>
  <c r="H30" i="43"/>
  <c r="B30" i="43"/>
  <c r="F41" i="13" l="1"/>
  <c r="F37" i="13"/>
  <c r="C174" i="47" l="1"/>
  <c r="D174" i="47"/>
  <c r="J11" i="33"/>
  <c r="J12" i="33"/>
  <c r="J13" i="33"/>
  <c r="J14" i="33"/>
  <c r="J15" i="33"/>
  <c r="J16" i="33"/>
  <c r="J17" i="33"/>
  <c r="J18" i="33"/>
  <c r="J19" i="33"/>
  <c r="J20" i="33"/>
  <c r="J21" i="33"/>
  <c r="J22" i="33"/>
  <c r="J23" i="33"/>
  <c r="J24" i="33"/>
  <c r="J25" i="33"/>
  <c r="J26" i="33"/>
  <c r="J27" i="33"/>
  <c r="J28" i="33"/>
  <c r="J29" i="33"/>
  <c r="J30" i="33"/>
  <c r="J31" i="33"/>
  <c r="J32" i="33"/>
  <c r="J33" i="33"/>
  <c r="J34" i="33"/>
  <c r="J35" i="33"/>
  <c r="J36" i="33"/>
  <c r="J37" i="33"/>
  <c r="J38" i="33"/>
  <c r="J39" i="33"/>
  <c r="J40" i="33"/>
  <c r="J41" i="33"/>
  <c r="J42" i="33"/>
  <c r="J43" i="33"/>
  <c r="J44" i="33"/>
  <c r="J45" i="33"/>
  <c r="J46" i="33"/>
  <c r="J47" i="33"/>
  <c r="J48" i="33"/>
  <c r="J49" i="33"/>
  <c r="J50" i="33"/>
  <c r="J51" i="33"/>
  <c r="J52" i="33"/>
  <c r="J53" i="33"/>
  <c r="J54" i="33"/>
  <c r="J55" i="33"/>
  <c r="J56" i="33"/>
  <c r="J57" i="33"/>
  <c r="J58" i="33"/>
  <c r="J59" i="33"/>
  <c r="J60" i="33"/>
  <c r="J61" i="33"/>
  <c r="J62" i="33"/>
  <c r="J63" i="33"/>
  <c r="J64" i="33"/>
  <c r="J65" i="33"/>
  <c r="J66" i="33"/>
  <c r="J67" i="33"/>
  <c r="J68" i="33"/>
  <c r="J69" i="33"/>
  <c r="J10" i="33"/>
  <c r="S11" i="33"/>
  <c r="S12" i="33"/>
  <c r="S13" i="33"/>
  <c r="S14" i="33"/>
  <c r="S15" i="33"/>
  <c r="S16" i="33"/>
  <c r="S17" i="33"/>
  <c r="S18" i="33"/>
  <c r="S19" i="33"/>
  <c r="S20" i="33"/>
  <c r="S21" i="33"/>
  <c r="S22" i="33"/>
  <c r="S23" i="33"/>
  <c r="S24" i="33"/>
  <c r="S25" i="33"/>
  <c r="S26" i="33"/>
  <c r="S27" i="33"/>
  <c r="S28" i="33"/>
  <c r="S29" i="33"/>
  <c r="S30" i="33"/>
  <c r="S31" i="33"/>
  <c r="S32" i="33"/>
  <c r="S33" i="33"/>
  <c r="S34" i="33"/>
  <c r="S35" i="33"/>
  <c r="S36" i="33"/>
  <c r="S37" i="33"/>
  <c r="S38" i="33"/>
  <c r="S39" i="33"/>
  <c r="S40" i="33"/>
  <c r="S41" i="33"/>
  <c r="S42" i="33"/>
  <c r="S43" i="33"/>
  <c r="S44" i="33"/>
  <c r="S45" i="33"/>
  <c r="S46" i="33"/>
  <c r="S47" i="33"/>
  <c r="S48" i="33"/>
  <c r="S49" i="33"/>
  <c r="S50" i="33"/>
  <c r="S51" i="33"/>
  <c r="S52" i="33"/>
  <c r="S53" i="33"/>
  <c r="S54" i="33"/>
  <c r="S55" i="33"/>
  <c r="S56" i="33"/>
  <c r="S57" i="33"/>
  <c r="S58" i="33"/>
  <c r="S59" i="33"/>
  <c r="S60" i="33"/>
  <c r="S61" i="33"/>
  <c r="S62" i="33"/>
  <c r="S63" i="33"/>
  <c r="S64" i="33"/>
  <c r="S65" i="33"/>
  <c r="S66" i="33"/>
  <c r="S67" i="33"/>
  <c r="S68" i="33"/>
  <c r="S69" i="33"/>
  <c r="S10" i="33"/>
  <c r="F33" i="25" l="1"/>
  <c r="D33" i="25"/>
  <c r="D32" i="25"/>
  <c r="D30" i="25"/>
  <c r="D28" i="25"/>
  <c r="D27" i="25"/>
  <c r="D26" i="25"/>
  <c r="D25" i="25"/>
  <c r="D24" i="25"/>
  <c r="D23" i="25"/>
  <c r="D22" i="25"/>
  <c r="D21" i="25"/>
  <c r="D20" i="25"/>
  <c r="D18" i="25"/>
  <c r="D17" i="25"/>
  <c r="D16" i="25"/>
  <c r="D15" i="25"/>
  <c r="D14" i="25"/>
  <c r="M71" i="33"/>
  <c r="L71" i="33"/>
  <c r="M72" i="21"/>
  <c r="F21" i="16"/>
  <c r="F63" i="15"/>
  <c r="F62" i="15"/>
  <c r="F12" i="14"/>
  <c r="P22" i="10" l="1"/>
  <c r="D55" i="10" l="1"/>
  <c r="D54" i="10"/>
  <c r="P16" i="10"/>
  <c r="P18" i="53"/>
  <c r="P17" i="53"/>
  <c r="O16" i="53"/>
  <c r="L50" i="23"/>
  <c r="L144" i="23" l="1"/>
  <c r="L16" i="23"/>
  <c r="D28" i="23" l="1"/>
  <c r="D24" i="23"/>
  <c r="D21" i="23"/>
  <c r="B21" i="6"/>
  <c r="A21" i="6"/>
  <c r="BQ2" i="32" l="1"/>
  <c r="N2" i="32"/>
  <c r="M2" i="32"/>
  <c r="L2" i="32"/>
  <c r="K2" i="32"/>
  <c r="J2" i="32"/>
  <c r="E38" i="27" l="1"/>
  <c r="E35" i="27"/>
  <c r="E34" i="27"/>
  <c r="E32" i="27"/>
  <c r="E31" i="27"/>
  <c r="E30" i="27"/>
  <c r="E45" i="27"/>
  <c r="E44" i="27"/>
  <c r="E162" i="25"/>
  <c r="M17" i="49" l="1"/>
  <c r="M18" i="49"/>
  <c r="O111" i="8"/>
  <c r="C45" i="27"/>
  <c r="X33" i="43"/>
  <c r="X29" i="43"/>
  <c r="X28" i="43"/>
  <c r="X23" i="43"/>
  <c r="X14" i="43"/>
  <c r="X15" i="43"/>
  <c r="X16" i="43"/>
  <c r="X17" i="43"/>
  <c r="X13" i="43"/>
  <c r="I32" i="43"/>
  <c r="I31" i="43"/>
  <c r="I29" i="43"/>
  <c r="I28" i="43"/>
  <c r="I26" i="43"/>
  <c r="I14" i="43"/>
  <c r="I15" i="43"/>
  <c r="I16" i="43"/>
  <c r="I17" i="43"/>
  <c r="I13" i="43"/>
  <c r="H28" i="6"/>
  <c r="I28" i="6" s="1"/>
  <c r="CV2" i="32" l="1"/>
  <c r="CS2" i="32"/>
  <c r="CU2" i="32" s="1"/>
  <c r="CR2" i="32"/>
  <c r="CO2" i="32"/>
  <c r="CN2" i="32"/>
  <c r="CL2" i="32"/>
  <c r="CK2" i="32"/>
  <c r="CI2" i="32"/>
  <c r="CH2" i="32"/>
  <c r="CE2" i="32"/>
  <c r="CF2" i="32"/>
  <c r="CC2" i="32"/>
  <c r="CB2" i="32"/>
  <c r="BV2" i="32"/>
  <c r="CD2" i="32" l="1"/>
  <c r="CJ2" i="32"/>
  <c r="CM2" i="32"/>
  <c r="CG2" i="32"/>
  <c r="BS2" i="32"/>
  <c r="C186" i="52"/>
  <c r="C185" i="52"/>
  <c r="C184" i="52"/>
  <c r="D16" i="23"/>
  <c r="BP2" i="32"/>
  <c r="BK2" i="32"/>
  <c r="BJ2" i="32"/>
  <c r="BH2" i="32"/>
  <c r="BG2" i="32"/>
  <c r="BE2" i="32"/>
  <c r="BD2" i="32"/>
  <c r="BI2" i="32" l="1"/>
  <c r="BM2" i="32"/>
  <c r="BR2" i="32"/>
  <c r="BN2" i="32"/>
  <c r="BO2" i="32" s="1"/>
  <c r="BL2" i="32"/>
  <c r="BF2" i="32"/>
  <c r="AZ2" i="32"/>
  <c r="BA2" i="32"/>
  <c r="AY2" i="32"/>
  <c r="AU2" i="32"/>
  <c r="AV2" i="32"/>
  <c r="AT2" i="32"/>
  <c r="AP2" i="32"/>
  <c r="AQ2" i="32"/>
  <c r="AO2" i="32"/>
  <c r="AL2" i="32"/>
  <c r="AK2" i="32"/>
  <c r="AJ2" i="32"/>
  <c r="AG2" i="32"/>
  <c r="AF2" i="32"/>
  <c r="AB2" i="32"/>
  <c r="AA2" i="32"/>
  <c r="Z2" i="32" l="1"/>
  <c r="X2" i="32"/>
  <c r="W2" i="32"/>
  <c r="U2" i="32"/>
  <c r="BY2" i="32"/>
  <c r="R2" i="32"/>
  <c r="Q2" i="32"/>
  <c r="X24" i="29"/>
  <c r="X25" i="29"/>
  <c r="X23" i="29"/>
  <c r="H2" i="32" l="1"/>
  <c r="G2" i="32"/>
  <c r="D15" i="53"/>
  <c r="D50" i="30"/>
  <c r="C50" i="30"/>
  <c r="C44" i="30"/>
  <c r="D44" i="30"/>
  <c r="X52" i="29"/>
  <c r="X51" i="29"/>
  <c r="X50" i="29"/>
  <c r="G51" i="29"/>
  <c r="G52" i="29"/>
  <c r="G50" i="29"/>
  <c r="E15" i="27"/>
  <c r="E13" i="27"/>
  <c r="C15" i="27"/>
  <c r="C14" i="27"/>
  <c r="M10" i="49" l="1"/>
  <c r="D13" i="27" l="1"/>
  <c r="F37" i="27"/>
  <c r="G37" i="27"/>
  <c r="C37" i="27"/>
  <c r="C36" i="30" s="1"/>
  <c r="E31" i="25"/>
  <c r="E37" i="27" s="1"/>
  <c r="D36" i="30" s="1"/>
  <c r="E40" i="25"/>
  <c r="G40" i="25" s="1"/>
  <c r="E10" i="9"/>
  <c r="F10" i="9"/>
  <c r="G45" i="27"/>
  <c r="G44" i="27"/>
  <c r="G43" i="27"/>
  <c r="E53" i="27"/>
  <c r="D52" i="30" s="1"/>
  <c r="E51" i="27"/>
  <c r="F45" i="27"/>
  <c r="E42" i="27"/>
  <c r="F42" i="27" s="1"/>
  <c r="E40" i="27"/>
  <c r="E12" i="27"/>
  <c r="D52" i="27"/>
  <c r="D51" i="27"/>
  <c r="D53" i="27" s="1"/>
  <c r="D47" i="27"/>
  <c r="D46" i="27"/>
  <c r="D42" i="27"/>
  <c r="G42" i="27" s="1"/>
  <c r="D41" i="27"/>
  <c r="G41" i="27" s="1"/>
  <c r="D40" i="27"/>
  <c r="D39" i="27"/>
  <c r="D38" i="27"/>
  <c r="D36" i="27"/>
  <c r="D34" i="27"/>
  <c r="D33" i="27"/>
  <c r="D32" i="27"/>
  <c r="D31" i="27"/>
  <c r="D30" i="27"/>
  <c r="D29" i="27"/>
  <c r="D28" i="27"/>
  <c r="D27" i="27"/>
  <c r="D26" i="27"/>
  <c r="D25" i="27"/>
  <c r="D18" i="27" s="1"/>
  <c r="D24" i="27"/>
  <c r="D23" i="27"/>
  <c r="D22" i="27"/>
  <c r="D21" i="27"/>
  <c r="D20" i="27"/>
  <c r="D19" i="27"/>
  <c r="D17" i="27"/>
  <c r="D15" i="27"/>
  <c r="D16" i="27"/>
  <c r="D14" i="27"/>
  <c r="D12" i="27"/>
  <c r="D11" i="27"/>
  <c r="D35" i="27"/>
  <c r="C51" i="27"/>
  <c r="C40" i="27"/>
  <c r="M12" i="34"/>
  <c r="M51" i="34"/>
  <c r="M50" i="34"/>
  <c r="M49" i="34"/>
  <c r="M45" i="34"/>
  <c r="M28" i="34"/>
  <c r="J3" i="34"/>
  <c r="D51" i="34"/>
  <c r="D45" i="34"/>
  <c r="D36" i="34"/>
  <c r="D28" i="34"/>
  <c r="D17" i="34"/>
  <c r="D12" i="34"/>
  <c r="E159" i="25"/>
  <c r="E164" i="25" s="1"/>
  <c r="P15" i="10"/>
  <c r="P12" i="10"/>
  <c r="X34" i="43"/>
  <c r="Y50" i="55"/>
  <c r="X50" i="55"/>
  <c r="Y48" i="55"/>
  <c r="X48" i="55"/>
  <c r="Y46" i="55"/>
  <c r="X46" i="55"/>
  <c r="Y43" i="55"/>
  <c r="X43" i="55"/>
  <c r="Y40" i="55"/>
  <c r="X40" i="55"/>
  <c r="Y38" i="55"/>
  <c r="X38" i="55"/>
  <c r="AC12" i="55"/>
  <c r="T5" i="55"/>
  <c r="T4" i="55"/>
  <c r="T3" i="55"/>
  <c r="Y18" i="55" l="1"/>
  <c r="X18" i="55"/>
  <c r="F41" i="27"/>
  <c r="W18" i="55"/>
  <c r="D15" i="10" l="1"/>
  <c r="I34" i="43"/>
  <c r="D12" i="10"/>
  <c r="A3" i="49"/>
  <c r="J3" i="49" s="1"/>
  <c r="N14" i="54"/>
  <c r="O12" i="54"/>
  <c r="O11" i="54"/>
  <c r="N10" i="54"/>
  <c r="M10" i="54"/>
  <c r="O10" i="54" s="1"/>
  <c r="E14" i="54"/>
  <c r="E10" i="54"/>
  <c r="D10" i="54"/>
  <c r="F12" i="54"/>
  <c r="F11" i="54"/>
  <c r="E5" i="54"/>
  <c r="N5" i="54" s="1"/>
  <c r="B5" i="54"/>
  <c r="K5" i="54" s="1"/>
  <c r="A3" i="54"/>
  <c r="J3" i="54" s="1"/>
  <c r="P15" i="53"/>
  <c r="O14" i="53"/>
  <c r="P14" i="53"/>
  <c r="O11" i="53"/>
  <c r="O12" i="53"/>
  <c r="Q12" i="53" s="1"/>
  <c r="P12" i="53"/>
  <c r="P11" i="53"/>
  <c r="L5" i="53"/>
  <c r="K3" i="53"/>
  <c r="N15" i="53"/>
  <c r="D15" i="23"/>
  <c r="G14" i="53"/>
  <c r="G12" i="53"/>
  <c r="G11" i="53"/>
  <c r="E5" i="53"/>
  <c r="O5" i="53" s="1"/>
  <c r="B5" i="53"/>
  <c r="A3" i="53"/>
  <c r="A3" i="23"/>
  <c r="I3" i="23" s="1"/>
  <c r="E5" i="23"/>
  <c r="M5" i="23" s="1"/>
  <c r="F10" i="54" l="1"/>
  <c r="Q14" i="53"/>
  <c r="Q11" i="53"/>
  <c r="L145" i="23"/>
  <c r="L150" i="23" s="1"/>
  <c r="L152" i="23" s="1"/>
  <c r="L123" i="23"/>
  <c r="L128" i="23" s="1"/>
  <c r="K123" i="23"/>
  <c r="K128" i="23" s="1"/>
  <c r="L122" i="23"/>
  <c r="K122" i="23"/>
  <c r="K120" i="23"/>
  <c r="L120" i="23" s="1"/>
  <c r="L108" i="23"/>
  <c r="L115" i="23" s="1"/>
  <c r="L94" i="23"/>
  <c r="L72" i="23"/>
  <c r="L57" i="23"/>
  <c r="L56" i="23"/>
  <c r="L63" i="23"/>
  <c r="L61" i="23"/>
  <c r="L60" i="23"/>
  <c r="L59" i="23"/>
  <c r="L62" i="23"/>
  <c r="L53" i="23"/>
  <c r="L52" i="23"/>
  <c r="L51" i="23"/>
  <c r="L49" i="23"/>
  <c r="C187" i="52"/>
  <c r="C181" i="52"/>
  <c r="C180" i="52"/>
  <c r="C179" i="52"/>
  <c r="C178" i="52"/>
  <c r="C177" i="52"/>
  <c r="C176" i="52"/>
  <c r="C175" i="52"/>
  <c r="C174" i="52"/>
  <c r="C173" i="52"/>
  <c r="C172" i="52"/>
  <c r="C171" i="52"/>
  <c r="C170" i="52"/>
  <c r="C169" i="52"/>
  <c r="C168" i="52"/>
  <c r="C167" i="52"/>
  <c r="C166" i="52"/>
  <c r="C165" i="52"/>
  <c r="C164" i="52"/>
  <c r="C163" i="52"/>
  <c r="C162" i="52"/>
  <c r="C161" i="52"/>
  <c r="C160" i="52"/>
  <c r="C159" i="52"/>
  <c r="C158" i="52"/>
  <c r="C157" i="52"/>
  <c r="C156" i="52"/>
  <c r="C155" i="52"/>
  <c r="C154" i="52"/>
  <c r="C153" i="52"/>
  <c r="C152" i="52"/>
  <c r="C151" i="52"/>
  <c r="C150" i="52"/>
  <c r="C149" i="52"/>
  <c r="C148" i="52"/>
  <c r="C147" i="52"/>
  <c r="C146" i="52"/>
  <c r="C145" i="52"/>
  <c r="C144" i="52"/>
  <c r="C143" i="52"/>
  <c r="C142" i="52"/>
  <c r="C141" i="52"/>
  <c r="C140" i="52"/>
  <c r="C139" i="52"/>
  <c r="C138" i="52"/>
  <c r="C137" i="52"/>
  <c r="C136" i="52"/>
  <c r="C135" i="52"/>
  <c r="C134" i="52"/>
  <c r="C133" i="52"/>
  <c r="C132" i="52"/>
  <c r="C131" i="52"/>
  <c r="C130" i="52"/>
  <c r="C129" i="52"/>
  <c r="C128" i="52"/>
  <c r="C127" i="52"/>
  <c r="C126" i="52"/>
  <c r="C125" i="52"/>
  <c r="C124" i="52"/>
  <c r="C123" i="52"/>
  <c r="C122" i="52"/>
  <c r="C121" i="52"/>
  <c r="C120" i="52"/>
  <c r="C119" i="52"/>
  <c r="C118" i="52"/>
  <c r="C117" i="52"/>
  <c r="C116" i="52"/>
  <c r="C115" i="52"/>
  <c r="C114" i="52"/>
  <c r="C113" i="52"/>
  <c r="C112" i="52"/>
  <c r="C111" i="52"/>
  <c r="C110" i="52"/>
  <c r="C109" i="52"/>
  <c r="C108" i="52"/>
  <c r="C107" i="52"/>
  <c r="C106" i="52"/>
  <c r="C105" i="52"/>
  <c r="C104" i="52"/>
  <c r="C103" i="52"/>
  <c r="C102" i="52"/>
  <c r="C101" i="52"/>
  <c r="C100" i="52"/>
  <c r="C99" i="52"/>
  <c r="C98" i="52"/>
  <c r="C97" i="52"/>
  <c r="C96" i="52"/>
  <c r="C95" i="52"/>
  <c r="C94" i="52"/>
  <c r="C93" i="52"/>
  <c r="C92" i="52"/>
  <c r="C91" i="52"/>
  <c r="C90" i="52"/>
  <c r="C89" i="52"/>
  <c r="C88" i="52"/>
  <c r="C87" i="52"/>
  <c r="C86" i="52"/>
  <c r="C85" i="52"/>
  <c r="C84" i="52"/>
  <c r="C83" i="52"/>
  <c r="C82" i="52"/>
  <c r="C81" i="52"/>
  <c r="C80" i="52"/>
  <c r="C79" i="52"/>
  <c r="C78" i="52"/>
  <c r="C77" i="52"/>
  <c r="C76" i="52"/>
  <c r="C75" i="52"/>
  <c r="C74" i="52"/>
  <c r="C73" i="52"/>
  <c r="C72" i="52"/>
  <c r="C71" i="52"/>
  <c r="C70" i="52"/>
  <c r="C69" i="52"/>
  <c r="C68" i="52"/>
  <c r="C67" i="52"/>
  <c r="C66" i="52"/>
  <c r="C65" i="52"/>
  <c r="C64" i="52"/>
  <c r="C63" i="52"/>
  <c r="C62" i="52"/>
  <c r="C61" i="52"/>
  <c r="C60" i="52"/>
  <c r="C59" i="52"/>
  <c r="C58" i="52"/>
  <c r="C57" i="52"/>
  <c r="C56" i="52"/>
  <c r="C55" i="52"/>
  <c r="C54" i="52"/>
  <c r="C53" i="52"/>
  <c r="C52" i="52"/>
  <c r="C51" i="52"/>
  <c r="C50" i="52"/>
  <c r="C49" i="52"/>
  <c r="C48" i="52"/>
  <c r="C47" i="52"/>
  <c r="C46" i="52"/>
  <c r="C45" i="52"/>
  <c r="C44" i="52"/>
  <c r="C43" i="52"/>
  <c r="C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C11" i="52"/>
  <c r="C10" i="52"/>
  <c r="C9" i="52"/>
  <c r="C8" i="52"/>
  <c r="L41" i="23"/>
  <c r="L37" i="23"/>
  <c r="L34" i="23"/>
  <c r="L21" i="23"/>
  <c r="L25" i="23"/>
  <c r="L135" i="23"/>
  <c r="L137" i="23" s="1"/>
  <c r="L15" i="23"/>
  <c r="C44" i="27" l="1"/>
  <c r="C43" i="30" s="1"/>
  <c r="D43" i="30"/>
  <c r="F44" i="27"/>
  <c r="L146" i="23"/>
  <c r="L147" i="23" s="1"/>
  <c r="K115" i="23"/>
  <c r="K117" i="23"/>
  <c r="K127" i="23" s="1"/>
  <c r="K126" i="23" s="1"/>
  <c r="L125" i="23"/>
  <c r="K116" i="23"/>
  <c r="K125" i="23"/>
  <c r="L48" i="23"/>
  <c r="L14" i="23"/>
  <c r="L13" i="23" s="1"/>
  <c r="L92" i="23"/>
  <c r="L80" i="23"/>
  <c r="L38" i="23"/>
  <c r="D92" i="23"/>
  <c r="D80" i="23"/>
  <c r="D78" i="23"/>
  <c r="D54" i="23"/>
  <c r="D48" i="23"/>
  <c r="D41" i="23"/>
  <c r="D38" i="23"/>
  <c r="D37" i="23"/>
  <c r="D34" i="23"/>
  <c r="D14" i="23"/>
  <c r="D13" i="23" s="1"/>
  <c r="D9" i="23" s="1"/>
  <c r="F11" i="14"/>
  <c r="F9" i="14"/>
  <c r="K114" i="23" l="1"/>
  <c r="K124" i="23"/>
  <c r="L39" i="23"/>
  <c r="L35" i="23"/>
  <c r="L36" i="23" s="1"/>
  <c r="L9" i="23"/>
  <c r="D39" i="23"/>
  <c r="D66" i="23"/>
  <c r="D91" i="23" s="1"/>
  <c r="D35" i="23"/>
  <c r="D36" i="23" s="1"/>
  <c r="N12" i="49"/>
  <c r="D11" i="49"/>
  <c r="C13" i="27"/>
  <c r="E5" i="49"/>
  <c r="N5" i="49" s="1"/>
  <c r="B5" i="49"/>
  <c r="K5" i="49" s="1"/>
  <c r="E15" i="25"/>
  <c r="E21" i="27" s="1"/>
  <c r="L25" i="42"/>
  <c r="L35" i="42" s="1"/>
  <c r="L34" i="42" s="1"/>
  <c r="L24" i="42"/>
  <c r="L23" i="42"/>
  <c r="L33" i="42" s="1"/>
  <c r="M36" i="42"/>
  <c r="L36" i="42"/>
  <c r="L28" i="42"/>
  <c r="B6" i="42"/>
  <c r="K6" i="42" s="1"/>
  <c r="B5" i="42"/>
  <c r="K5" i="42" s="1"/>
  <c r="L116" i="23" l="1"/>
  <c r="L114" i="23" s="1"/>
  <c r="L117" i="23" s="1"/>
  <c r="L127" i="23" s="1"/>
  <c r="L126" i="23" s="1"/>
  <c r="L124" i="23" s="1"/>
  <c r="L58" i="23" s="1"/>
  <c r="L40" i="23"/>
  <c r="L42" i="23" s="1"/>
  <c r="L89" i="23"/>
  <c r="D40" i="23"/>
  <c r="D42" i="23" s="1"/>
  <c r="D90" i="23" s="1"/>
  <c r="E14" i="27"/>
  <c r="N10" i="49"/>
  <c r="L32" i="42"/>
  <c r="L22" i="42"/>
  <c r="C14" i="42"/>
  <c r="R70" i="33"/>
  <c r="Q70" i="33"/>
  <c r="P70" i="33"/>
  <c r="O70" i="33"/>
  <c r="N70" i="33"/>
  <c r="M70" i="33"/>
  <c r="L70" i="33"/>
  <c r="I70" i="33"/>
  <c r="H70" i="33"/>
  <c r="G70" i="33"/>
  <c r="F70" i="33"/>
  <c r="E70" i="33"/>
  <c r="B70" i="33"/>
  <c r="G20" i="16"/>
  <c r="D20" i="16"/>
  <c r="C15" i="25"/>
  <c r="C21" i="27" s="1"/>
  <c r="M312" i="47"/>
  <c r="N298" i="47"/>
  <c r="N297" i="47"/>
  <c r="N296" i="47"/>
  <c r="N295" i="47"/>
  <c r="N294" i="47"/>
  <c r="N293" i="47"/>
  <c r="N292" i="47"/>
  <c r="S291" i="47"/>
  <c r="O90" i="47" s="1"/>
  <c r="R291" i="47"/>
  <c r="O91" i="47" s="1"/>
  <c r="Q291" i="47"/>
  <c r="O89" i="47" s="1"/>
  <c r="P291" i="47"/>
  <c r="O88" i="47" s="1"/>
  <c r="O291" i="47"/>
  <c r="O85" i="47" s="1"/>
  <c r="S361" i="47"/>
  <c r="N340" i="47"/>
  <c r="N339" i="47"/>
  <c r="N338" i="47"/>
  <c r="N337" i="47"/>
  <c r="N336" i="47"/>
  <c r="N335" i="47"/>
  <c r="N334" i="47"/>
  <c r="S333" i="47"/>
  <c r="R333" i="47"/>
  <c r="Q333" i="47"/>
  <c r="P333" i="47"/>
  <c r="O333" i="47"/>
  <c r="P228" i="47" s="1"/>
  <c r="S319" i="47"/>
  <c r="O94" i="47" s="1"/>
  <c r="P278" i="47"/>
  <c r="P275" i="47"/>
  <c r="P272" i="47"/>
  <c r="P269" i="47"/>
  <c r="P265" i="47"/>
  <c r="P262" i="47"/>
  <c r="P259" i="47"/>
  <c r="P256" i="47"/>
  <c r="P251" i="47"/>
  <c r="P248" i="47"/>
  <c r="P245" i="47"/>
  <c r="P242" i="47"/>
  <c r="P240" i="47"/>
  <c r="P284" i="47" s="1"/>
  <c r="O236" i="47"/>
  <c r="P224" i="47"/>
  <c r="P201" i="47"/>
  <c r="P204" i="47" s="1"/>
  <c r="P207" i="47" s="1"/>
  <c r="P193" i="47"/>
  <c r="P220" i="47" s="1"/>
  <c r="P189" i="47"/>
  <c r="O187" i="47"/>
  <c r="O174" i="47"/>
  <c r="O167" i="47"/>
  <c r="O162" i="47"/>
  <c r="O159" i="47"/>
  <c r="O156" i="47"/>
  <c r="O140" i="47"/>
  <c r="O135" i="47" s="1"/>
  <c r="O138" i="47"/>
  <c r="O114" i="47"/>
  <c r="O107" i="47" s="1"/>
  <c r="O99" i="47"/>
  <c r="O87" i="47"/>
  <c r="O79" i="47"/>
  <c r="O71" i="47"/>
  <c r="O68" i="47"/>
  <c r="O65" i="47"/>
  <c r="O62" i="47"/>
  <c r="O59" i="47"/>
  <c r="O56" i="47"/>
  <c r="O53" i="47"/>
  <c r="O50" i="47"/>
  <c r="O47" i="47"/>
  <c r="O35" i="47"/>
  <c r="O32" i="47" s="1"/>
  <c r="O27" i="47"/>
  <c r="O15" i="47"/>
  <c r="O11" i="47" s="1"/>
  <c r="G9" i="14"/>
  <c r="G10" i="14"/>
  <c r="E10" i="14"/>
  <c r="E4" i="14"/>
  <c r="A312" i="47"/>
  <c r="A333" i="47" s="1"/>
  <c r="A354" i="47" s="1"/>
  <c r="N127" i="48"/>
  <c r="M127" i="48"/>
  <c r="D127" i="48"/>
  <c r="C127" i="48"/>
  <c r="P111" i="48"/>
  <c r="O111" i="48"/>
  <c r="N111" i="48"/>
  <c r="M111" i="48"/>
  <c r="F111" i="48"/>
  <c r="E111" i="48"/>
  <c r="D111" i="48"/>
  <c r="C111" i="48"/>
  <c r="B111" i="48"/>
  <c r="P95" i="48"/>
  <c r="P127" i="48" s="1"/>
  <c r="O95" i="48"/>
  <c r="O127" i="48" s="1"/>
  <c r="N95" i="48"/>
  <c r="M95" i="48"/>
  <c r="F95" i="48"/>
  <c r="F127" i="48" s="1"/>
  <c r="E95" i="48"/>
  <c r="E127" i="48" s="1"/>
  <c r="D95" i="48"/>
  <c r="C95" i="48"/>
  <c r="B95" i="48"/>
  <c r="B127" i="48" s="1"/>
  <c r="P93" i="48"/>
  <c r="O93" i="48"/>
  <c r="M93" i="48"/>
  <c r="M92" i="48"/>
  <c r="F8" i="48"/>
  <c r="B8" i="48"/>
  <c r="A5" i="48"/>
  <c r="D236" i="47"/>
  <c r="D189" i="47"/>
  <c r="E189" i="47"/>
  <c r="D187" i="47"/>
  <c r="A4" i="47"/>
  <c r="L4" i="47" s="1"/>
  <c r="D6" i="47"/>
  <c r="O6" i="47" s="1"/>
  <c r="B6" i="47"/>
  <c r="M6" i="47" s="1"/>
  <c r="D8" i="47"/>
  <c r="E236" i="47" s="1"/>
  <c r="H369" i="47"/>
  <c r="D106" i="47" s="1"/>
  <c r="H361" i="47"/>
  <c r="C106" i="47" s="1"/>
  <c r="C348" i="47"/>
  <c r="C347" i="47"/>
  <c r="C346" i="47"/>
  <c r="C345" i="47"/>
  <c r="C344" i="47"/>
  <c r="C343" i="47"/>
  <c r="C342" i="47"/>
  <c r="H341" i="47"/>
  <c r="D102" i="47" s="1"/>
  <c r="G341" i="47"/>
  <c r="D103" i="47" s="1"/>
  <c r="F341" i="47"/>
  <c r="D101" i="47" s="1"/>
  <c r="E341" i="47"/>
  <c r="D100" i="47" s="1"/>
  <c r="D341" i="47"/>
  <c r="D97" i="47" s="1"/>
  <c r="C340" i="47"/>
  <c r="C339" i="47"/>
  <c r="C338" i="47"/>
  <c r="C337" i="47"/>
  <c r="C336" i="47"/>
  <c r="C335" i="47"/>
  <c r="C334" i="47"/>
  <c r="H333" i="47"/>
  <c r="C102" i="47" s="1"/>
  <c r="G333" i="47"/>
  <c r="C103" i="47" s="1"/>
  <c r="F333" i="47"/>
  <c r="C101" i="47" s="1"/>
  <c r="E333" i="47"/>
  <c r="C100" i="47" s="1"/>
  <c r="D333" i="47"/>
  <c r="C97" i="47" s="1"/>
  <c r="H327" i="47"/>
  <c r="D94" i="47" s="1"/>
  <c r="H319" i="47"/>
  <c r="C94" i="47" s="1"/>
  <c r="C306" i="47"/>
  <c r="C305" i="47"/>
  <c r="C304" i="47"/>
  <c r="C303" i="47"/>
  <c r="C302" i="47"/>
  <c r="C301" i="47"/>
  <c r="C300" i="47"/>
  <c r="H299" i="47"/>
  <c r="D90" i="47" s="1"/>
  <c r="G299" i="47"/>
  <c r="D91" i="47" s="1"/>
  <c r="F299" i="47"/>
  <c r="D89" i="47" s="1"/>
  <c r="E299" i="47"/>
  <c r="D88" i="47" s="1"/>
  <c r="D299" i="47"/>
  <c r="C298" i="47"/>
  <c r="C297" i="47"/>
  <c r="C296" i="47"/>
  <c r="C295" i="47"/>
  <c r="C294" i="47"/>
  <c r="C293" i="47"/>
  <c r="C292" i="47"/>
  <c r="H291" i="47"/>
  <c r="C90" i="47" s="1"/>
  <c r="G291" i="47"/>
  <c r="C91" i="47" s="1"/>
  <c r="F291" i="47"/>
  <c r="C89" i="47" s="1"/>
  <c r="E291" i="47"/>
  <c r="C88" i="47" s="1"/>
  <c r="D291" i="47"/>
  <c r="C85" i="47" s="1"/>
  <c r="E278" i="47"/>
  <c r="D278" i="47"/>
  <c r="E275" i="47"/>
  <c r="D275" i="47"/>
  <c r="E272" i="47"/>
  <c r="D272" i="47"/>
  <c r="E269" i="47"/>
  <c r="D269" i="47"/>
  <c r="E265" i="47"/>
  <c r="D265" i="47"/>
  <c r="E262" i="47"/>
  <c r="D262" i="47"/>
  <c r="E259" i="47"/>
  <c r="D259" i="47"/>
  <c r="E256" i="47"/>
  <c r="D256" i="47"/>
  <c r="E251" i="47"/>
  <c r="D251" i="47"/>
  <c r="E248" i="47"/>
  <c r="D248" i="47"/>
  <c r="E245" i="47"/>
  <c r="D245" i="47"/>
  <c r="E242" i="47"/>
  <c r="D242" i="47"/>
  <c r="E240" i="47"/>
  <c r="E284" i="47" s="1"/>
  <c r="D240" i="47"/>
  <c r="D284" i="47" s="1"/>
  <c r="E201" i="47"/>
  <c r="E204" i="47" s="1"/>
  <c r="D201" i="47"/>
  <c r="D204" i="47" s="1"/>
  <c r="D207" i="47" s="1"/>
  <c r="E193" i="47"/>
  <c r="E220" i="47" s="1"/>
  <c r="D193" i="47"/>
  <c r="D220" i="47" s="1"/>
  <c r="D167" i="47"/>
  <c r="C167" i="47"/>
  <c r="D162" i="47"/>
  <c r="C162" i="47"/>
  <c r="D159" i="47"/>
  <c r="C159" i="47"/>
  <c r="D156" i="47"/>
  <c r="C156" i="47"/>
  <c r="D140" i="47"/>
  <c r="D135" i="47" s="1"/>
  <c r="C140" i="47"/>
  <c r="C135" i="47" s="1"/>
  <c r="D138" i="47"/>
  <c r="C138" i="47"/>
  <c r="D114" i="47"/>
  <c r="D107" i="47" s="1"/>
  <c r="C114" i="47"/>
  <c r="C107" i="47" s="1"/>
  <c r="D99" i="47"/>
  <c r="C99" i="47"/>
  <c r="D87" i="47"/>
  <c r="C87" i="47"/>
  <c r="D79" i="47"/>
  <c r="C79" i="47"/>
  <c r="D71" i="47"/>
  <c r="C71" i="47"/>
  <c r="D68" i="47"/>
  <c r="C68" i="47"/>
  <c r="D65" i="47"/>
  <c r="C65" i="47"/>
  <c r="D62" i="47"/>
  <c r="C62" i="47"/>
  <c r="D59" i="47"/>
  <c r="C59" i="47"/>
  <c r="D56" i="47"/>
  <c r="C56" i="47"/>
  <c r="D53" i="47"/>
  <c r="C53" i="47"/>
  <c r="D50" i="47"/>
  <c r="C50" i="47"/>
  <c r="D47" i="47"/>
  <c r="C47" i="47"/>
  <c r="C41" i="47"/>
  <c r="C38" i="47"/>
  <c r="D35" i="47"/>
  <c r="D32" i="47" s="1"/>
  <c r="C35" i="47"/>
  <c r="C32" i="47" s="1"/>
  <c r="D27" i="47"/>
  <c r="C27" i="47"/>
  <c r="D15" i="47"/>
  <c r="D11" i="47" s="1"/>
  <c r="C15" i="47"/>
  <c r="C11" i="47" s="1"/>
  <c r="E224" i="47" l="1"/>
  <c r="D85" i="47"/>
  <c r="D84" i="47" s="1"/>
  <c r="D83" i="47" s="1"/>
  <c r="N291" i="47"/>
  <c r="L148" i="23"/>
  <c r="L90" i="23"/>
  <c r="L143" i="23"/>
  <c r="N13" i="49"/>
  <c r="E16" i="27" s="1"/>
  <c r="O46" i="47"/>
  <c r="O45" i="47" s="1"/>
  <c r="D228" i="47"/>
  <c r="P268" i="47"/>
  <c r="N333" i="47"/>
  <c r="E228" i="47"/>
  <c r="D224" i="47"/>
  <c r="P239" i="47"/>
  <c r="P238" i="47"/>
  <c r="P255" i="47"/>
  <c r="P229" i="47"/>
  <c r="P230" i="47" s="1"/>
  <c r="P225" i="47"/>
  <c r="P226" i="47" s="1"/>
  <c r="P219" i="47"/>
  <c r="P221" i="47" s="1"/>
  <c r="L333" i="47"/>
  <c r="O40" i="47"/>
  <c r="O41" i="47" s="1"/>
  <c r="P236" i="47"/>
  <c r="P187" i="47"/>
  <c r="D40" i="47"/>
  <c r="D41" i="47" s="1"/>
  <c r="E238" i="47"/>
  <c r="D46" i="47"/>
  <c r="D45" i="47" s="1"/>
  <c r="E239" i="47"/>
  <c r="E255" i="47"/>
  <c r="C333" i="47"/>
  <c r="E268" i="47"/>
  <c r="D239" i="47"/>
  <c r="D238" i="47"/>
  <c r="D96" i="47"/>
  <c r="D95" i="47" s="1"/>
  <c r="C46" i="47"/>
  <c r="C45" i="47" s="1"/>
  <c r="D225" i="47"/>
  <c r="D226" i="47" s="1"/>
  <c r="D229" i="47"/>
  <c r="D230" i="47" s="1"/>
  <c r="D255" i="47"/>
  <c r="D268" i="47"/>
  <c r="C341" i="47"/>
  <c r="C299" i="47"/>
  <c r="B333" i="47"/>
  <c r="B312" i="47"/>
  <c r="B354" i="47"/>
  <c r="B291" i="47"/>
  <c r="D237" i="47"/>
  <c r="D219" i="47"/>
  <c r="D221" i="47" s="1"/>
  <c r="B320" i="47"/>
  <c r="B299" i="47"/>
  <c r="E237" i="47"/>
  <c r="E188" i="47"/>
  <c r="B362" i="47"/>
  <c r="B341" i="47"/>
  <c r="E207" i="47"/>
  <c r="E219" i="47" s="1"/>
  <c r="E221" i="47" s="1"/>
  <c r="C96" i="47"/>
  <c r="C95" i="47" s="1"/>
  <c r="E229" i="47"/>
  <c r="E230" i="47" s="1"/>
  <c r="E225" i="47"/>
  <c r="E226" i="47" s="1"/>
  <c r="C84" i="47"/>
  <c r="C83" i="47" s="1"/>
  <c r="C291" i="47"/>
  <c r="O21" i="47" l="1"/>
  <c r="N17" i="49"/>
  <c r="O84" i="47"/>
  <c r="O83" i="47" s="1"/>
  <c r="P254" i="47"/>
  <c r="O20" i="47" s="1"/>
  <c r="O96" i="47"/>
  <c r="O95" i="47" s="1"/>
  <c r="O39" i="47"/>
  <c r="O42" i="47" s="1"/>
  <c r="D39" i="47"/>
  <c r="D42" i="47" s="1"/>
  <c r="D38" i="47" s="1"/>
  <c r="E254" i="47"/>
  <c r="D20" i="47" s="1"/>
  <c r="D21" i="47"/>
  <c r="C21" i="47"/>
  <c r="D254" i="47"/>
  <c r="C20" i="47" s="1"/>
  <c r="C82" i="47"/>
  <c r="D82" i="47"/>
  <c r="A320" i="47"/>
  <c r="A299" i="47"/>
  <c r="L291" i="47" s="1"/>
  <c r="L312" i="47" s="1"/>
  <c r="A341" i="47"/>
  <c r="A362" i="47"/>
  <c r="E187" i="47"/>
  <c r="O17" i="49" l="1"/>
  <c r="M33" i="34"/>
  <c r="E152" i="25"/>
  <c r="E11" i="27"/>
  <c r="M14" i="34"/>
  <c r="M48" i="34"/>
  <c r="M47" i="34" s="1"/>
  <c r="M52" i="34" s="1"/>
  <c r="O19" i="47"/>
  <c r="O22" i="47"/>
  <c r="O82" i="47"/>
  <c r="O38" i="47"/>
  <c r="D19" i="47"/>
  <c r="D10" i="47" s="1"/>
  <c r="D182" i="47" s="1"/>
  <c r="C30" i="25" s="1"/>
  <c r="D22" i="47"/>
  <c r="C22" i="47"/>
  <c r="C19" i="47"/>
  <c r="C10" i="47" s="1"/>
  <c r="C182" i="47" s="1"/>
  <c r="O10" i="47" l="1"/>
  <c r="O182" i="47"/>
  <c r="E30" i="25" s="1"/>
  <c r="E36" i="27" s="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10" i="21"/>
  <c r="S10" i="21" s="1"/>
  <c r="G33" i="13"/>
  <c r="I68" i="18"/>
  <c r="M71" i="21"/>
  <c r="L71" i="21"/>
  <c r="E71" i="21"/>
  <c r="K51" i="21"/>
  <c r="K52" i="21"/>
  <c r="K53" i="21"/>
  <c r="K54" i="21"/>
  <c r="K55" i="21"/>
  <c r="K56" i="21"/>
  <c r="K30" i="21"/>
  <c r="K31" i="21"/>
  <c r="K32" i="21"/>
  <c r="K33" i="21"/>
  <c r="K10" i="21"/>
  <c r="K11" i="21"/>
  <c r="K12" i="21"/>
  <c r="K13" i="21"/>
  <c r="K14" i="21"/>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K58" i="18" s="1"/>
  <c r="J59" i="18"/>
  <c r="J60" i="18"/>
  <c r="J61" i="18"/>
  <c r="J62" i="18"/>
  <c r="J63" i="18"/>
  <c r="J15" i="18"/>
  <c r="G11" i="16"/>
  <c r="G17" i="16"/>
  <c r="G41" i="13"/>
  <c r="I40" i="13"/>
  <c r="I39" i="13"/>
  <c r="I38" i="13"/>
  <c r="I36" i="13"/>
  <c r="I35" i="13"/>
  <c r="I34" i="13"/>
  <c r="G32" i="13"/>
  <c r="I31" i="13"/>
  <c r="I30" i="13"/>
  <c r="I29" i="13"/>
  <c r="I28" i="13"/>
  <c r="I27" i="13"/>
  <c r="I26" i="13"/>
  <c r="F57" i="15"/>
  <c r="G57" i="15"/>
  <c r="F54" i="15"/>
  <c r="G54" i="15"/>
  <c r="F51" i="15"/>
  <c r="G51" i="15"/>
  <c r="F48" i="15"/>
  <c r="G48" i="15"/>
  <c r="F45" i="15"/>
  <c r="G45" i="15"/>
  <c r="F40" i="15"/>
  <c r="G40" i="15"/>
  <c r="F37" i="15"/>
  <c r="G37" i="15"/>
  <c r="G27" i="15" s="1"/>
  <c r="F34" i="15"/>
  <c r="G34" i="15"/>
  <c r="F31" i="15"/>
  <c r="G31" i="15"/>
  <c r="F28" i="15"/>
  <c r="G28" i="15"/>
  <c r="F22" i="15"/>
  <c r="F18" i="15" s="1"/>
  <c r="G22" i="15"/>
  <c r="G18" i="15"/>
  <c r="F19" i="15"/>
  <c r="G19" i="15"/>
  <c r="F14" i="15"/>
  <c r="G14" i="15"/>
  <c r="F11" i="15"/>
  <c r="G11" i="15"/>
  <c r="D4" i="15"/>
  <c r="P30" i="10"/>
  <c r="P29" i="10"/>
  <c r="H35" i="12"/>
  <c r="H29" i="12"/>
  <c r="G29" i="12"/>
  <c r="G35" i="12" s="1"/>
  <c r="H23" i="12"/>
  <c r="G23" i="12"/>
  <c r="F23" i="12"/>
  <c r="F29" i="12" s="1"/>
  <c r="F35" i="12" s="1"/>
  <c r="D61" i="10"/>
  <c r="W5" i="43"/>
  <c r="Q5" i="43"/>
  <c r="P3" i="43"/>
  <c r="Q14" i="43"/>
  <c r="Q20" i="43" s="1"/>
  <c r="Q24" i="43" s="1"/>
  <c r="R14" i="43"/>
  <c r="S14" i="43"/>
  <c r="T14" i="43"/>
  <c r="U14" i="43"/>
  <c r="U20" i="43" s="1"/>
  <c r="U24" i="43" s="1"/>
  <c r="V14" i="43"/>
  <c r="W14" i="43"/>
  <c r="Q15" i="43"/>
  <c r="Q21" i="43" s="1"/>
  <c r="Q25" i="43" s="1"/>
  <c r="R15" i="43"/>
  <c r="R21" i="43" s="1"/>
  <c r="R25" i="43" s="1"/>
  <c r="S15" i="43"/>
  <c r="T15" i="43"/>
  <c r="U15" i="43"/>
  <c r="U21" i="43" s="1"/>
  <c r="U25" i="43" s="1"/>
  <c r="V15" i="43"/>
  <c r="V21" i="43" s="1"/>
  <c r="V25" i="43" s="1"/>
  <c r="W15" i="43"/>
  <c r="Q16" i="43"/>
  <c r="R16" i="43"/>
  <c r="S16" i="43"/>
  <c r="T16" i="43"/>
  <c r="U16" i="43"/>
  <c r="V16" i="43"/>
  <c r="W16" i="43"/>
  <c r="Q17" i="43"/>
  <c r="R17" i="43"/>
  <c r="S17" i="43"/>
  <c r="T17" i="43"/>
  <c r="U17" i="43"/>
  <c r="V17" i="43"/>
  <c r="W17" i="43"/>
  <c r="R13" i="43"/>
  <c r="S13" i="43"/>
  <c r="T13" i="43"/>
  <c r="X19" i="43" s="1"/>
  <c r="U13" i="43"/>
  <c r="U19" i="43" s="1"/>
  <c r="U23" i="43" s="1"/>
  <c r="V13" i="43"/>
  <c r="W13" i="43"/>
  <c r="Q13" i="43"/>
  <c r="Q19" i="43" s="1"/>
  <c r="Q23" i="43" s="1"/>
  <c r="X35" i="43"/>
  <c r="X32" i="43"/>
  <c r="X30" i="43" s="1"/>
  <c r="X31" i="43"/>
  <c r="X27" i="43"/>
  <c r="W27" i="43"/>
  <c r="V27" i="43"/>
  <c r="U27" i="43"/>
  <c r="T27" i="43"/>
  <c r="S27" i="43"/>
  <c r="R27" i="43"/>
  <c r="Q27" i="43"/>
  <c r="W21" i="43"/>
  <c r="W25" i="43" s="1"/>
  <c r="T21" i="43"/>
  <c r="T25" i="43" s="1"/>
  <c r="S21" i="43"/>
  <c r="S25" i="43" s="1"/>
  <c r="W20" i="43"/>
  <c r="W24" i="43" s="1"/>
  <c r="V20" i="43"/>
  <c r="V24" i="43" s="1"/>
  <c r="T20" i="43"/>
  <c r="T24" i="43" s="1"/>
  <c r="S20" i="43"/>
  <c r="S24" i="43" s="1"/>
  <c r="R20" i="43"/>
  <c r="R24" i="43" s="1"/>
  <c r="W19" i="43"/>
  <c r="W23" i="43" s="1"/>
  <c r="V19" i="43"/>
  <c r="V23" i="43" s="1"/>
  <c r="T19" i="43"/>
  <c r="T23" i="43" s="1"/>
  <c r="S19" i="43"/>
  <c r="S23" i="43" s="1"/>
  <c r="R19" i="43"/>
  <c r="R23" i="43" s="1"/>
  <c r="H5" i="43"/>
  <c r="B5" i="43"/>
  <c r="A3" i="43"/>
  <c r="I35" i="43"/>
  <c r="H27" i="43"/>
  <c r="H19" i="43"/>
  <c r="H23" i="43" s="1"/>
  <c r="H20" i="43"/>
  <c r="H24" i="43" s="1"/>
  <c r="H21" i="43"/>
  <c r="H25" i="43" s="1"/>
  <c r="N127" i="8"/>
  <c r="N111" i="8"/>
  <c r="N95" i="8"/>
  <c r="O11" i="46" s="1"/>
  <c r="N11" i="46"/>
  <c r="T10" i="21" l="1"/>
  <c r="U10" i="21" s="1"/>
  <c r="G14" i="16"/>
  <c r="I32" i="13"/>
  <c r="J32" i="13" s="1"/>
  <c r="I41" i="13"/>
  <c r="E14" i="25" s="1"/>
  <c r="E20" i="27" s="1"/>
  <c r="F44" i="15"/>
  <c r="G44" i="15"/>
  <c r="G26" i="15" s="1"/>
  <c r="F27" i="15"/>
  <c r="X20" i="43"/>
  <c r="X24" i="43" s="1"/>
  <c r="W26" i="43"/>
  <c r="W33" i="43" s="1"/>
  <c r="E48" i="27" s="1"/>
  <c r="D47" i="30" s="1"/>
  <c r="X21" i="43"/>
  <c r="X25" i="43" s="1"/>
  <c r="X26" i="43" s="1"/>
  <c r="S26" i="43"/>
  <c r="S33" i="43" s="1"/>
  <c r="T26" i="43"/>
  <c r="T33" i="43" s="1"/>
  <c r="Q26" i="43"/>
  <c r="Q33" i="43" s="1"/>
  <c r="U26" i="43"/>
  <c r="U33" i="43" s="1"/>
  <c r="R26" i="43"/>
  <c r="R33" i="43" s="1"/>
  <c r="L14" i="42" s="1"/>
  <c r="V26" i="43"/>
  <c r="V33" i="43" s="1"/>
  <c r="H26" i="43"/>
  <c r="H33" i="43" s="1"/>
  <c r="C48" i="27" s="1"/>
  <c r="C47" i="30" s="1"/>
  <c r="P11" i="46"/>
  <c r="Q11" i="46"/>
  <c r="X36" i="43" l="1"/>
  <c r="E157" i="25"/>
  <c r="E47" i="27"/>
  <c r="E151" i="25"/>
  <c r="E158" i="25" s="1"/>
  <c r="E160" i="25" s="1"/>
  <c r="E161" i="25" s="1"/>
  <c r="E163" i="25" s="1"/>
  <c r="L15" i="42"/>
  <c r="L13" i="42" s="1"/>
  <c r="X40" i="43"/>
  <c r="P13" i="10"/>
  <c r="F26" i="15"/>
  <c r="E165" i="25" l="1"/>
  <c r="E20" i="25" s="1"/>
  <c r="E26" i="27" s="1"/>
  <c r="V2" i="32"/>
  <c r="D46" i="30"/>
  <c r="E52" i="27"/>
  <c r="F5" i="46"/>
  <c r="P5" i="46" s="1"/>
  <c r="D51" i="30" l="1"/>
  <c r="CW2" i="32"/>
  <c r="D11" i="46"/>
  <c r="G11" i="46" s="1"/>
  <c r="D25" i="23" s="1"/>
  <c r="B5" i="46"/>
  <c r="L5" i="46" s="1"/>
  <c r="A3" i="46"/>
  <c r="K3" i="46" s="1"/>
  <c r="C95" i="8"/>
  <c r="C127" i="8" s="1"/>
  <c r="C111" i="8"/>
  <c r="F8" i="8"/>
  <c r="B8" i="8"/>
  <c r="A5" i="8"/>
  <c r="F111" i="8"/>
  <c r="E111" i="8"/>
  <c r="D111" i="8"/>
  <c r="B111" i="8"/>
  <c r="F95" i="8"/>
  <c r="E95" i="8"/>
  <c r="D95" i="8"/>
  <c r="D127" i="8" s="1"/>
  <c r="B95" i="8"/>
  <c r="B127" i="8" s="1"/>
  <c r="P93" i="8"/>
  <c r="O93" i="8"/>
  <c r="M93" i="8"/>
  <c r="M92" i="8"/>
  <c r="A5" i="7"/>
  <c r="D7" i="7"/>
  <c r="B7" i="7"/>
  <c r="E17" i="6"/>
  <c r="E18" i="6" s="1"/>
  <c r="E19" i="6" s="1"/>
  <c r="E20" i="6" s="1"/>
  <c r="E21" i="6" s="1"/>
  <c r="E22" i="6" s="1"/>
  <c r="H40" i="6"/>
  <c r="C40" i="6"/>
  <c r="B13" i="1"/>
  <c r="B10" i="1"/>
  <c r="A2" i="53" l="1"/>
  <c r="K2" i="53" s="1"/>
  <c r="A2" i="54"/>
  <c r="J2" i="54" s="1"/>
  <c r="A2" i="49"/>
  <c r="J2" i="49" s="1"/>
  <c r="A2" i="42"/>
  <c r="J2" i="42" s="1"/>
  <c r="A3" i="47"/>
  <c r="L3" i="47" s="1"/>
  <c r="A1" i="48"/>
  <c r="A1" i="43"/>
  <c r="P1" i="43" s="1"/>
  <c r="A1" i="8"/>
  <c r="A1" i="46"/>
  <c r="K1" i="46" s="1"/>
  <c r="E11" i="46"/>
  <c r="F11" i="46" s="1"/>
  <c r="F127" i="8"/>
  <c r="E19" i="46"/>
  <c r="E127" i="8"/>
  <c r="D19" i="46"/>
  <c r="P111" i="8"/>
  <c r="P95" i="8"/>
  <c r="O95" i="8"/>
  <c r="M111" i="8"/>
  <c r="M95" i="8"/>
  <c r="M127" i="8" s="1"/>
  <c r="P127" i="8" l="1"/>
  <c r="O19" i="46"/>
  <c r="O127" i="8"/>
  <c r="N19" i="46"/>
  <c r="P19" i="46" s="1"/>
  <c r="N14" i="49" s="1"/>
  <c r="F19" i="46"/>
  <c r="J71" i="18"/>
  <c r="D36" i="7"/>
  <c r="D33" i="7" s="1"/>
  <c r="D35" i="7"/>
  <c r="D34" i="7"/>
  <c r="D18" i="7"/>
  <c r="D14" i="49" l="1"/>
  <c r="D13" i="49" s="1"/>
  <c r="C16" i="27" s="1"/>
  <c r="J11" i="18"/>
  <c r="D17" i="49" l="1"/>
  <c r="G23" i="29"/>
  <c r="G24" i="29"/>
  <c r="G25" i="29"/>
  <c r="C28" i="42"/>
  <c r="H10" i="21"/>
  <c r="H11" i="21"/>
  <c r="J11" i="21" s="1"/>
  <c r="H12" i="21"/>
  <c r="J12" i="21" s="1"/>
  <c r="H13" i="21"/>
  <c r="J13" i="21" s="1"/>
  <c r="H14" i="21"/>
  <c r="J14" i="21" s="1"/>
  <c r="D48" i="34" l="1"/>
  <c r="C11" i="27"/>
  <c r="D14" i="34"/>
  <c r="D33" i="34"/>
  <c r="J10" i="21"/>
  <c r="E49" i="27"/>
  <c r="D48" i="30" s="1"/>
  <c r="H32" i="21" l="1"/>
  <c r="J32" i="21" s="1"/>
  <c r="N32" i="21" l="1"/>
  <c r="P32" i="21" s="1"/>
  <c r="Q32" i="21"/>
  <c r="S32" i="21" s="1"/>
  <c r="T32" i="21" l="1"/>
  <c r="U32" i="21" s="1"/>
  <c r="O32" i="21"/>
  <c r="N10" i="21" l="1"/>
  <c r="C30" i="43" l="1"/>
  <c r="G27" i="43"/>
  <c r="F27" i="43"/>
  <c r="E27" i="43"/>
  <c r="D27" i="43"/>
  <c r="C27" i="43"/>
  <c r="B27" i="43"/>
  <c r="G21" i="43"/>
  <c r="G25" i="43" s="1"/>
  <c r="F21" i="43"/>
  <c r="F25" i="43" s="1"/>
  <c r="E21" i="43"/>
  <c r="E25" i="43" s="1"/>
  <c r="D21" i="43"/>
  <c r="D25" i="43" s="1"/>
  <c r="C21" i="43"/>
  <c r="C25" i="43" s="1"/>
  <c r="B21" i="43"/>
  <c r="B25" i="43" s="1"/>
  <c r="G20" i="43"/>
  <c r="G24" i="43" s="1"/>
  <c r="F20" i="43"/>
  <c r="F24" i="43" s="1"/>
  <c r="E20" i="43"/>
  <c r="E24" i="43" s="1"/>
  <c r="D20" i="43"/>
  <c r="D24" i="43" s="1"/>
  <c r="C20" i="43"/>
  <c r="C24" i="43" s="1"/>
  <c r="B20" i="43"/>
  <c r="B24" i="43" s="1"/>
  <c r="G19" i="43"/>
  <c r="G23" i="43" s="1"/>
  <c r="F19" i="43"/>
  <c r="F23" i="43" s="1"/>
  <c r="E19" i="43"/>
  <c r="E23" i="43" s="1"/>
  <c r="D19" i="43"/>
  <c r="D23" i="43" s="1"/>
  <c r="C19" i="43"/>
  <c r="C23" i="43" s="1"/>
  <c r="B19" i="43"/>
  <c r="B23" i="43" s="1"/>
  <c r="I21" i="43"/>
  <c r="I25" i="43" s="1"/>
  <c r="I20" i="43"/>
  <c r="I24" i="43" s="1"/>
  <c r="I19" i="43"/>
  <c r="I23" i="43" s="1"/>
  <c r="C36" i="42"/>
  <c r="D36" i="42"/>
  <c r="C25" i="42"/>
  <c r="C35" i="42" s="1"/>
  <c r="C24" i="42"/>
  <c r="C23" i="42"/>
  <c r="C33" i="42" s="1"/>
  <c r="G26" i="43" l="1"/>
  <c r="G33" i="43" s="1"/>
  <c r="I27" i="43"/>
  <c r="I30" i="43"/>
  <c r="B26" i="43"/>
  <c r="F26" i="43"/>
  <c r="F33" i="43" s="1"/>
  <c r="D26" i="43"/>
  <c r="D33" i="43" s="1"/>
  <c r="C26" i="43"/>
  <c r="C33" i="43" s="1"/>
  <c r="C34" i="42"/>
  <c r="C32" i="42" s="1"/>
  <c r="E26" i="43"/>
  <c r="E33" i="43" s="1"/>
  <c r="C22" i="42"/>
  <c r="B33" i="43" l="1"/>
  <c r="I33" i="43"/>
  <c r="I36" i="43" l="1"/>
  <c r="C47" i="27"/>
  <c r="C15" i="42"/>
  <c r="C13" i="42" s="1"/>
  <c r="D16" i="10"/>
  <c r="I40" i="43"/>
  <c r="D13" i="10"/>
  <c r="C52" i="27" l="1"/>
  <c r="C51" i="30" s="1"/>
  <c r="C46" i="30"/>
  <c r="M14" i="42"/>
  <c r="D14" i="42"/>
  <c r="E14" i="42" s="1"/>
  <c r="D23" i="42" s="1"/>
  <c r="D33" i="42" s="1"/>
  <c r="M15" i="42" l="1"/>
  <c r="N15" i="42" s="1"/>
  <c r="M25" i="42" s="1"/>
  <c r="M35" i="42" s="1"/>
  <c r="M34" i="42" s="1"/>
  <c r="N14" i="42"/>
  <c r="M23" i="42" s="1"/>
  <c r="M33" i="42" s="1"/>
  <c r="D15" i="42"/>
  <c r="E15" i="42" s="1"/>
  <c r="M13" i="42" l="1"/>
  <c r="M32" i="42"/>
  <c r="E23" i="25" s="1"/>
  <c r="E29" i="27" s="1"/>
  <c r="M24" i="42"/>
  <c r="M22" i="42" s="1"/>
  <c r="N13" i="42"/>
  <c r="N16" i="42" s="1"/>
  <c r="E13" i="42"/>
  <c r="E16" i="42" s="1"/>
  <c r="D25" i="42"/>
  <c r="D13" i="42"/>
  <c r="H30" i="21"/>
  <c r="J14" i="18"/>
  <c r="J13" i="18"/>
  <c r="J12" i="18"/>
  <c r="D24" i="42" l="1"/>
  <c r="D22" i="42" s="1"/>
  <c r="D35" i="42"/>
  <c r="D34" i="42" s="1"/>
  <c r="D32" i="42" s="1"/>
  <c r="C23" i="25" s="1"/>
  <c r="O10" i="21"/>
  <c r="Q10" i="21" l="1"/>
  <c r="P10" i="21"/>
  <c r="F27" i="13" l="1"/>
  <c r="F28" i="13"/>
  <c r="F29" i="13"/>
  <c r="F30" i="13"/>
  <c r="AC20" i="29" l="1"/>
  <c r="N69" i="33" l="1"/>
  <c r="X48" i="29"/>
  <c r="X46" i="29"/>
  <c r="X45" i="29"/>
  <c r="AD2" i="32" s="1"/>
  <c r="AW2" i="32"/>
  <c r="AC2" i="32"/>
  <c r="AX2" i="32" l="1"/>
  <c r="I64" i="18" l="1"/>
  <c r="I93" i="18" s="1"/>
  <c r="I94" i="18" s="1"/>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H54"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E17" i="16" l="1"/>
  <c r="D17" i="16"/>
  <c r="D79" i="23" l="1"/>
  <c r="D81" i="23" s="1"/>
  <c r="D83" i="23" s="1"/>
  <c r="D93" i="23" s="1"/>
  <c r="D89" i="23"/>
  <c r="E57" i="15"/>
  <c r="D57" i="15"/>
  <c r="E54" i="15"/>
  <c r="D54" i="15"/>
  <c r="E51" i="15"/>
  <c r="D51" i="15"/>
  <c r="E48" i="15"/>
  <c r="D48" i="15"/>
  <c r="E45" i="15"/>
  <c r="D45" i="15"/>
  <c r="E40" i="15"/>
  <c r="D40" i="15"/>
  <c r="E37" i="15"/>
  <c r="D37" i="15"/>
  <c r="E34" i="15"/>
  <c r="D34" i="15"/>
  <c r="E31" i="15"/>
  <c r="D31" i="15"/>
  <c r="E28" i="15"/>
  <c r="D28" i="15"/>
  <c r="D27" i="15" s="1"/>
  <c r="E22" i="15"/>
  <c r="D22" i="15"/>
  <c r="E19" i="15"/>
  <c r="E18" i="15" s="1"/>
  <c r="D19" i="15"/>
  <c r="D18" i="15" s="1"/>
  <c r="E14" i="15"/>
  <c r="D14" i="15"/>
  <c r="E11" i="15"/>
  <c r="E10" i="15" s="1"/>
  <c r="D11" i="15"/>
  <c r="E9" i="14"/>
  <c r="D9" i="14"/>
  <c r="D95" i="23" l="1"/>
  <c r="D101" i="23" s="1"/>
  <c r="D103" i="23" s="1"/>
  <c r="D44" i="15"/>
  <c r="D26" i="15" s="1"/>
  <c r="E27" i="15"/>
  <c r="C16" i="25"/>
  <c r="C22" i="27" s="1"/>
  <c r="E44" i="15"/>
  <c r="D10" i="15"/>
  <c r="C43" i="27" l="1"/>
  <c r="C42" i="30" s="1"/>
  <c r="E26" i="15"/>
  <c r="C17" i="25"/>
  <c r="C23" i="27" s="1"/>
  <c r="E61" i="15"/>
  <c r="D61" i="15"/>
  <c r="C12" i="29" l="1"/>
  <c r="C2" i="32"/>
  <c r="CX2" i="32" l="1"/>
  <c r="CY2" i="32"/>
  <c r="CQ2" i="32" l="1"/>
  <c r="CP2" i="32"/>
  <c r="AH2" i="32" l="1"/>
  <c r="AI2" i="32"/>
  <c r="BB2" i="32"/>
  <c r="AS2" i="32"/>
  <c r="AR2" i="32"/>
  <c r="T2" i="32"/>
  <c r="BZ2" i="32" s="1"/>
  <c r="CA2" i="32" s="1"/>
  <c r="BC2" i="32" l="1"/>
  <c r="AM2" i="32"/>
  <c r="AN2" i="32"/>
  <c r="C17" i="13"/>
  <c r="B17" i="13"/>
  <c r="F32" i="29" l="1"/>
  <c r="E5" i="34"/>
  <c r="N5" i="34" s="1"/>
  <c r="B5" i="34"/>
  <c r="K5" i="34" s="1"/>
  <c r="A3" i="34"/>
  <c r="G5" i="33"/>
  <c r="B5" i="33"/>
  <c r="A3" i="33"/>
  <c r="E69" i="33"/>
  <c r="N68" i="33"/>
  <c r="R68" i="33" s="1"/>
  <c r="E68" i="33"/>
  <c r="N67" i="33"/>
  <c r="O67" i="33" s="1"/>
  <c r="Q67" i="33" s="1"/>
  <c r="E67" i="33"/>
  <c r="I67" i="33" s="1"/>
  <c r="K67" i="33" s="1"/>
  <c r="N66" i="33"/>
  <c r="R66" i="33" s="1"/>
  <c r="E66" i="33"/>
  <c r="I66" i="33" s="1"/>
  <c r="K66" i="33" s="1"/>
  <c r="N65" i="33"/>
  <c r="R65" i="33" s="1"/>
  <c r="E65" i="33"/>
  <c r="F65" i="33" s="1"/>
  <c r="H65" i="33" s="1"/>
  <c r="N64" i="33"/>
  <c r="R64" i="33" s="1"/>
  <c r="E64" i="33"/>
  <c r="N63" i="33"/>
  <c r="O63" i="33" s="1"/>
  <c r="Q63" i="33" s="1"/>
  <c r="E63" i="33"/>
  <c r="I63" i="33" s="1"/>
  <c r="K63" i="33" s="1"/>
  <c r="N62" i="33"/>
  <c r="R62" i="33" s="1"/>
  <c r="E62" i="33"/>
  <c r="I62" i="33" s="1"/>
  <c r="K62" i="33" s="1"/>
  <c r="N61" i="33"/>
  <c r="R61" i="33" s="1"/>
  <c r="E61" i="33"/>
  <c r="F61" i="33" s="1"/>
  <c r="H61" i="33" s="1"/>
  <c r="N60" i="33"/>
  <c r="R60" i="33" s="1"/>
  <c r="E60" i="33"/>
  <c r="N59" i="33"/>
  <c r="O59" i="33" s="1"/>
  <c r="Q59" i="33" s="1"/>
  <c r="E59" i="33"/>
  <c r="I59" i="33" s="1"/>
  <c r="K59" i="33" s="1"/>
  <c r="N58" i="33"/>
  <c r="R58" i="33" s="1"/>
  <c r="E58" i="33"/>
  <c r="I58" i="33" s="1"/>
  <c r="K58" i="33" s="1"/>
  <c r="N57" i="33"/>
  <c r="R57" i="33" s="1"/>
  <c r="E57" i="33"/>
  <c r="F57" i="33" s="1"/>
  <c r="N56" i="33"/>
  <c r="R56" i="33" s="1"/>
  <c r="E56" i="33"/>
  <c r="N55" i="33"/>
  <c r="O55" i="33" s="1"/>
  <c r="Q55" i="33" s="1"/>
  <c r="E55" i="33"/>
  <c r="I55" i="33" s="1"/>
  <c r="K55" i="33" s="1"/>
  <c r="N54" i="33"/>
  <c r="R54" i="33" s="1"/>
  <c r="E54" i="33"/>
  <c r="I54" i="33" s="1"/>
  <c r="K54" i="33" s="1"/>
  <c r="N53" i="33"/>
  <c r="R53" i="33" s="1"/>
  <c r="E53" i="33"/>
  <c r="F53" i="33" s="1"/>
  <c r="N52" i="33"/>
  <c r="R52" i="33" s="1"/>
  <c r="E52" i="33"/>
  <c r="N51" i="33"/>
  <c r="O51" i="33" s="1"/>
  <c r="Q51" i="33" s="1"/>
  <c r="E51" i="33"/>
  <c r="I51" i="33" s="1"/>
  <c r="K51" i="33" s="1"/>
  <c r="N50" i="33"/>
  <c r="R50" i="33" s="1"/>
  <c r="E50" i="33"/>
  <c r="F50" i="33" s="1"/>
  <c r="N49" i="33"/>
  <c r="R49" i="33" s="1"/>
  <c r="E49" i="33"/>
  <c r="N48" i="33"/>
  <c r="O48" i="33" s="1"/>
  <c r="Q48" i="33" s="1"/>
  <c r="E48" i="33"/>
  <c r="I48" i="33" s="1"/>
  <c r="K48" i="33" s="1"/>
  <c r="N47" i="33"/>
  <c r="R47" i="33" s="1"/>
  <c r="E47" i="33"/>
  <c r="I47" i="33" s="1"/>
  <c r="K47" i="33" s="1"/>
  <c r="N46" i="33"/>
  <c r="R46" i="33" s="1"/>
  <c r="E46" i="33"/>
  <c r="F46" i="33" s="1"/>
  <c r="N45" i="33"/>
  <c r="R45" i="33" s="1"/>
  <c r="E45" i="33"/>
  <c r="N44" i="33"/>
  <c r="O44" i="33" s="1"/>
  <c r="E44" i="33"/>
  <c r="I44" i="33" s="1"/>
  <c r="K44" i="33" s="1"/>
  <c r="N43" i="33"/>
  <c r="E43" i="33"/>
  <c r="I43" i="33" s="1"/>
  <c r="K43" i="33" s="1"/>
  <c r="N42" i="33"/>
  <c r="R42" i="33" s="1"/>
  <c r="E42" i="33"/>
  <c r="F42" i="33" s="1"/>
  <c r="N41" i="33"/>
  <c r="R41" i="33" s="1"/>
  <c r="E41" i="33"/>
  <c r="F41" i="33" s="1"/>
  <c r="H41" i="33" s="1"/>
  <c r="N40" i="33"/>
  <c r="E40" i="33"/>
  <c r="I40" i="33" s="1"/>
  <c r="K40" i="33" s="1"/>
  <c r="N39" i="33"/>
  <c r="O39" i="33" s="1"/>
  <c r="Q39" i="33" s="1"/>
  <c r="E39" i="33"/>
  <c r="N38" i="33"/>
  <c r="O38" i="33" s="1"/>
  <c r="Q38" i="33" s="1"/>
  <c r="E38" i="33"/>
  <c r="F38" i="33" s="1"/>
  <c r="N37" i="33"/>
  <c r="E37" i="33"/>
  <c r="I37" i="33" s="1"/>
  <c r="K37" i="33" s="1"/>
  <c r="N36" i="33"/>
  <c r="O36" i="33" s="1"/>
  <c r="E36" i="33"/>
  <c r="F36" i="33" s="1"/>
  <c r="H36" i="33" s="1"/>
  <c r="N35" i="33"/>
  <c r="R35" i="33" s="1"/>
  <c r="E35" i="33"/>
  <c r="N34" i="33"/>
  <c r="O34" i="33" s="1"/>
  <c r="Q34" i="33" s="1"/>
  <c r="E34" i="33"/>
  <c r="F34" i="33" s="1"/>
  <c r="N33" i="33"/>
  <c r="E33" i="33"/>
  <c r="I33" i="33" s="1"/>
  <c r="K33" i="33" s="1"/>
  <c r="N32" i="33"/>
  <c r="O32" i="33" s="1"/>
  <c r="E32" i="33"/>
  <c r="F32" i="33" s="1"/>
  <c r="H32" i="33" s="1"/>
  <c r="N31" i="33"/>
  <c r="R31" i="33" s="1"/>
  <c r="E31" i="33"/>
  <c r="N30" i="33"/>
  <c r="O30" i="33" s="1"/>
  <c r="E30" i="33"/>
  <c r="F30" i="33" s="1"/>
  <c r="N29" i="33"/>
  <c r="R29" i="33" s="1"/>
  <c r="E29" i="33"/>
  <c r="F29" i="33" s="1"/>
  <c r="N28" i="33"/>
  <c r="R28" i="33" s="1"/>
  <c r="E28" i="33"/>
  <c r="I28" i="33" s="1"/>
  <c r="K28" i="33" s="1"/>
  <c r="N27" i="33"/>
  <c r="O27" i="33" s="1"/>
  <c r="E27" i="33"/>
  <c r="I27" i="33" s="1"/>
  <c r="K27" i="33" s="1"/>
  <c r="N26" i="33"/>
  <c r="R26" i="33" s="1"/>
  <c r="E26" i="33"/>
  <c r="F26" i="33" s="1"/>
  <c r="N25" i="33"/>
  <c r="E25" i="33"/>
  <c r="I25" i="33" s="1"/>
  <c r="K25" i="33" s="1"/>
  <c r="N24" i="33"/>
  <c r="O24" i="33" s="1"/>
  <c r="E24" i="33"/>
  <c r="I24" i="33" s="1"/>
  <c r="K24" i="33" s="1"/>
  <c r="N23" i="33"/>
  <c r="R23" i="33" s="1"/>
  <c r="E23" i="33"/>
  <c r="N22" i="33"/>
  <c r="R22" i="33" s="1"/>
  <c r="E22" i="33"/>
  <c r="F22" i="33" s="1"/>
  <c r="N21" i="33"/>
  <c r="R21" i="33" s="1"/>
  <c r="E21" i="33"/>
  <c r="I21" i="33" s="1"/>
  <c r="K21" i="33" s="1"/>
  <c r="N20" i="33"/>
  <c r="E20" i="33"/>
  <c r="I20" i="33" s="1"/>
  <c r="K20" i="33" s="1"/>
  <c r="N19" i="33"/>
  <c r="R19" i="33" s="1"/>
  <c r="E19" i="33"/>
  <c r="N18" i="33"/>
  <c r="R18" i="33" s="1"/>
  <c r="E18" i="33"/>
  <c r="N17" i="33"/>
  <c r="E17" i="33"/>
  <c r="I17" i="33" s="1"/>
  <c r="K17" i="33" s="1"/>
  <c r="N16" i="33"/>
  <c r="E16" i="33"/>
  <c r="I16" i="33" s="1"/>
  <c r="K16" i="33" s="1"/>
  <c r="N15" i="33"/>
  <c r="R15" i="33" s="1"/>
  <c r="E15" i="33"/>
  <c r="N14" i="33"/>
  <c r="R14" i="33" s="1"/>
  <c r="E14" i="33"/>
  <c r="F14" i="33" s="1"/>
  <c r="N13" i="33"/>
  <c r="E13" i="33"/>
  <c r="I13" i="33" s="1"/>
  <c r="K13" i="33" s="1"/>
  <c r="N12" i="33"/>
  <c r="O12" i="33" s="1"/>
  <c r="E12" i="33"/>
  <c r="I12" i="33" s="1"/>
  <c r="K12" i="33" s="1"/>
  <c r="N11" i="33"/>
  <c r="E11" i="33"/>
  <c r="N10" i="33"/>
  <c r="E10" i="33"/>
  <c r="O68" i="33" l="1"/>
  <c r="Q68" i="33" s="1"/>
  <c r="T53" i="33"/>
  <c r="T57" i="33"/>
  <c r="T65" i="33"/>
  <c r="T42" i="33"/>
  <c r="T46" i="33"/>
  <c r="T21" i="33"/>
  <c r="T29" i="33"/>
  <c r="T26" i="33"/>
  <c r="T52" i="33"/>
  <c r="T56" i="33"/>
  <c r="T66" i="33"/>
  <c r="T45" i="33"/>
  <c r="T54" i="33"/>
  <c r="T58" i="33"/>
  <c r="F62" i="33"/>
  <c r="H62" i="33" s="1"/>
  <c r="F63" i="33"/>
  <c r="G63" i="33" s="1"/>
  <c r="T64" i="33"/>
  <c r="F13" i="33"/>
  <c r="G13" i="33" s="1"/>
  <c r="I42" i="33"/>
  <c r="K42" i="33" s="1"/>
  <c r="F51" i="33"/>
  <c r="H51" i="33" s="1"/>
  <c r="O57" i="33"/>
  <c r="Q57" i="33" s="1"/>
  <c r="T15" i="33"/>
  <c r="T31" i="33"/>
  <c r="F33" i="33"/>
  <c r="H33" i="33" s="1"/>
  <c r="T35" i="33"/>
  <c r="F37" i="33"/>
  <c r="H37" i="33" s="1"/>
  <c r="R44" i="33"/>
  <c r="T44" i="33" s="1"/>
  <c r="O52" i="33"/>
  <c r="Q52" i="33" s="1"/>
  <c r="O53" i="33"/>
  <c r="P53" i="33" s="1"/>
  <c r="P63" i="33"/>
  <c r="O64" i="33"/>
  <c r="Q64" i="33" s="1"/>
  <c r="O65" i="33"/>
  <c r="P65" i="33" s="1"/>
  <c r="Q12" i="33"/>
  <c r="I41" i="33"/>
  <c r="K41" i="33" s="1"/>
  <c r="Q44" i="33"/>
  <c r="F54" i="33"/>
  <c r="H54" i="33" s="1"/>
  <c r="F55" i="33"/>
  <c r="H55" i="33" s="1"/>
  <c r="T14" i="33"/>
  <c r="F12" i="33"/>
  <c r="O14" i="33"/>
  <c r="Q14" i="33" s="1"/>
  <c r="O15" i="33"/>
  <c r="P15" i="33" s="1"/>
  <c r="P30" i="33"/>
  <c r="O31" i="33"/>
  <c r="Q31" i="33" s="1"/>
  <c r="O35" i="33"/>
  <c r="Q35" i="33" s="1"/>
  <c r="R39" i="33"/>
  <c r="T39" i="33" s="1"/>
  <c r="T41" i="33"/>
  <c r="T47" i="33"/>
  <c r="F17" i="33"/>
  <c r="G17" i="33" s="1"/>
  <c r="T18" i="33"/>
  <c r="T22" i="33"/>
  <c r="O23" i="33"/>
  <c r="P23" i="33" s="1"/>
  <c r="P27" i="33"/>
  <c r="F58" i="33"/>
  <c r="H58" i="33" s="1"/>
  <c r="F59" i="33"/>
  <c r="H59" i="33" s="1"/>
  <c r="P68" i="33"/>
  <c r="P51" i="33"/>
  <c r="P55" i="33"/>
  <c r="O56" i="33"/>
  <c r="Q56" i="33" s="1"/>
  <c r="T60" i="33"/>
  <c r="T61" i="33"/>
  <c r="P59" i="33"/>
  <c r="O60" i="33"/>
  <c r="Q60" i="33" s="1"/>
  <c r="O61" i="33"/>
  <c r="Q61" i="33" s="1"/>
  <c r="T62" i="33"/>
  <c r="F66" i="33"/>
  <c r="H66" i="33" s="1"/>
  <c r="F67" i="33"/>
  <c r="G67" i="33" s="1"/>
  <c r="T68" i="33"/>
  <c r="P34" i="33"/>
  <c r="F43" i="33"/>
  <c r="G43" i="33" s="1"/>
  <c r="F47" i="33"/>
  <c r="G47" i="33" s="1"/>
  <c r="F48" i="33"/>
  <c r="H48" i="33" s="1"/>
  <c r="O45" i="33"/>
  <c r="Q45" i="33" s="1"/>
  <c r="O46" i="33"/>
  <c r="P46" i="33" s="1"/>
  <c r="T49" i="33"/>
  <c r="P38" i="33"/>
  <c r="F40" i="33"/>
  <c r="G40" i="33" s="1"/>
  <c r="O41" i="33"/>
  <c r="Q41" i="33" s="1"/>
  <c r="H42" i="33"/>
  <c r="P44" i="33"/>
  <c r="P48" i="33"/>
  <c r="O49" i="33"/>
  <c r="P49" i="33" s="1"/>
  <c r="T19" i="33"/>
  <c r="O22" i="33"/>
  <c r="Q22" i="33" s="1"/>
  <c r="F24" i="33"/>
  <c r="H24" i="33" s="1"/>
  <c r="H14" i="33"/>
  <c r="F21" i="33"/>
  <c r="G21" i="33" s="1"/>
  <c r="O26" i="33"/>
  <c r="Q26" i="33" s="1"/>
  <c r="T28" i="33"/>
  <c r="O18" i="33"/>
  <c r="P18" i="33" s="1"/>
  <c r="F28" i="33"/>
  <c r="H28" i="33" s="1"/>
  <c r="O28" i="33"/>
  <c r="Q28" i="33" s="1"/>
  <c r="F16" i="33"/>
  <c r="G16" i="33" s="1"/>
  <c r="O16" i="33"/>
  <c r="Q16" i="33" s="1"/>
  <c r="F18" i="33"/>
  <c r="G18" i="33" s="1"/>
  <c r="O19" i="33"/>
  <c r="P19" i="33" s="1"/>
  <c r="F20" i="33"/>
  <c r="G20" i="33" s="1"/>
  <c r="O20" i="33"/>
  <c r="Q20" i="33" s="1"/>
  <c r="H22" i="33"/>
  <c r="T23" i="33"/>
  <c r="Q24" i="33"/>
  <c r="F25" i="33"/>
  <c r="G25" i="33" s="1"/>
  <c r="H26" i="33"/>
  <c r="F27" i="33"/>
  <c r="G27" i="33" s="1"/>
  <c r="O11" i="33"/>
  <c r="R11" i="33" s="1"/>
  <c r="T11" i="33" s="1"/>
  <c r="O10" i="33"/>
  <c r="Q10" i="33" s="1"/>
  <c r="F10" i="33"/>
  <c r="H10" i="33" s="1"/>
  <c r="R12" i="33"/>
  <c r="T12" i="33" s="1"/>
  <c r="I14" i="33"/>
  <c r="K14" i="33" s="1"/>
  <c r="R16" i="33"/>
  <c r="T16" i="33" s="1"/>
  <c r="I18" i="33"/>
  <c r="K18" i="33" s="1"/>
  <c r="R20" i="33"/>
  <c r="T20" i="33" s="1"/>
  <c r="I22" i="33"/>
  <c r="K22" i="33" s="1"/>
  <c r="R24" i="33"/>
  <c r="T24" i="33" s="1"/>
  <c r="I26" i="33"/>
  <c r="K26" i="33" s="1"/>
  <c r="I29" i="33"/>
  <c r="K29" i="33" s="1"/>
  <c r="H30" i="33"/>
  <c r="G30" i="33"/>
  <c r="Q32" i="33"/>
  <c r="P32" i="33"/>
  <c r="O33" i="33"/>
  <c r="Q33" i="33" s="1"/>
  <c r="H34" i="33"/>
  <c r="G34" i="33"/>
  <c r="Q36" i="33"/>
  <c r="P36" i="33"/>
  <c r="O37" i="33"/>
  <c r="Q37" i="33" s="1"/>
  <c r="H38" i="33"/>
  <c r="G38" i="33"/>
  <c r="H50" i="33"/>
  <c r="G50" i="33"/>
  <c r="R13" i="33"/>
  <c r="T13" i="33" s="1"/>
  <c r="R25" i="33"/>
  <c r="T25" i="33" s="1"/>
  <c r="F31" i="33"/>
  <c r="H31" i="33" s="1"/>
  <c r="F35" i="33"/>
  <c r="F39" i="33"/>
  <c r="G39" i="33" s="1"/>
  <c r="R43" i="33"/>
  <c r="T43" i="33" s="1"/>
  <c r="O43" i="33"/>
  <c r="P43" i="33" s="1"/>
  <c r="F49" i="33"/>
  <c r="H49" i="33" s="1"/>
  <c r="I49" i="33"/>
  <c r="K49" i="33" s="1"/>
  <c r="T50" i="33"/>
  <c r="F52" i="33"/>
  <c r="H52" i="33" s="1"/>
  <c r="I52" i="33"/>
  <c r="K52" i="33" s="1"/>
  <c r="H53" i="33"/>
  <c r="G53" i="33"/>
  <c r="I15" i="33"/>
  <c r="K15" i="33" s="1"/>
  <c r="I19" i="33"/>
  <c r="K19" i="33" s="1"/>
  <c r="I23" i="33"/>
  <c r="K23" i="33" s="1"/>
  <c r="F11" i="33"/>
  <c r="I11" i="33" s="1"/>
  <c r="K11" i="33" s="1"/>
  <c r="P12" i="33"/>
  <c r="H13" i="33"/>
  <c r="O13" i="33"/>
  <c r="P13" i="33" s="1"/>
  <c r="G14" i="33"/>
  <c r="F15" i="33"/>
  <c r="H15" i="33" s="1"/>
  <c r="O17" i="33"/>
  <c r="P17" i="33" s="1"/>
  <c r="F19" i="33"/>
  <c r="G19" i="33" s="1"/>
  <c r="O21" i="33"/>
  <c r="P21" i="33" s="1"/>
  <c r="G22" i="33"/>
  <c r="F23" i="33"/>
  <c r="G23" i="33" s="1"/>
  <c r="P24" i="33"/>
  <c r="O25" i="33"/>
  <c r="P25" i="33" s="1"/>
  <c r="G26" i="33"/>
  <c r="Q27" i="33"/>
  <c r="G29" i="33"/>
  <c r="O29" i="33"/>
  <c r="Q29" i="33" s="1"/>
  <c r="I30" i="33"/>
  <c r="Q30" i="33"/>
  <c r="G32" i="33"/>
  <c r="R32" i="33"/>
  <c r="T32" i="33" s="1"/>
  <c r="G33" i="33"/>
  <c r="R33" i="33"/>
  <c r="T33" i="33" s="1"/>
  <c r="I34" i="33"/>
  <c r="K34" i="33" s="1"/>
  <c r="G36" i="33"/>
  <c r="R36" i="33"/>
  <c r="T36" i="33" s="1"/>
  <c r="R37" i="33"/>
  <c r="T37" i="33" s="1"/>
  <c r="I38" i="33"/>
  <c r="K38" i="33" s="1"/>
  <c r="G54" i="33"/>
  <c r="R17" i="33"/>
  <c r="T17" i="33" s="1"/>
  <c r="R27" i="33"/>
  <c r="T27" i="33" s="1"/>
  <c r="H29" i="33"/>
  <c r="I31" i="33"/>
  <c r="K31" i="33" s="1"/>
  <c r="I35" i="33"/>
  <c r="K35" i="33" s="1"/>
  <c r="I39" i="33"/>
  <c r="K39" i="33" s="1"/>
  <c r="O40" i="33"/>
  <c r="Q40" i="33" s="1"/>
  <c r="R40" i="33"/>
  <c r="T40" i="33" s="1"/>
  <c r="F45" i="33"/>
  <c r="H45" i="33" s="1"/>
  <c r="I45" i="33"/>
  <c r="K45" i="33" s="1"/>
  <c r="H46" i="33"/>
  <c r="G46" i="33"/>
  <c r="P52" i="33"/>
  <c r="F56" i="33"/>
  <c r="H56" i="33" s="1"/>
  <c r="I56" i="33"/>
  <c r="K56" i="33" s="1"/>
  <c r="H57" i="33"/>
  <c r="G57" i="33"/>
  <c r="F60" i="33"/>
  <c r="G60" i="33" s="1"/>
  <c r="F64" i="33"/>
  <c r="G64" i="33" s="1"/>
  <c r="P67" i="33"/>
  <c r="F68" i="33"/>
  <c r="G68" i="33" s="1"/>
  <c r="R30" i="33"/>
  <c r="I32" i="33"/>
  <c r="K32" i="33" s="1"/>
  <c r="R34" i="33"/>
  <c r="T34" i="33" s="1"/>
  <c r="I36" i="33"/>
  <c r="K36" i="33" s="1"/>
  <c r="R38" i="33"/>
  <c r="T38" i="33" s="1"/>
  <c r="G61" i="33"/>
  <c r="G65" i="33"/>
  <c r="P39" i="33"/>
  <c r="G41" i="33"/>
  <c r="G42" i="33"/>
  <c r="O42" i="33"/>
  <c r="P42" i="33" s="1"/>
  <c r="F44" i="33"/>
  <c r="G44" i="33" s="1"/>
  <c r="I60" i="33"/>
  <c r="K60" i="33" s="1"/>
  <c r="I64" i="33"/>
  <c r="K64" i="33" s="1"/>
  <c r="I68" i="33"/>
  <c r="K68" i="33" s="1"/>
  <c r="O47" i="33"/>
  <c r="Q47" i="33" s="1"/>
  <c r="G48" i="33"/>
  <c r="O50" i="33"/>
  <c r="O54" i="33"/>
  <c r="Q54" i="33" s="1"/>
  <c r="O58" i="33"/>
  <c r="Q58" i="33" s="1"/>
  <c r="O62" i="33"/>
  <c r="Q62" i="33" s="1"/>
  <c r="H63" i="33"/>
  <c r="O66" i="33"/>
  <c r="Q66" i="33" s="1"/>
  <c r="I46" i="33"/>
  <c r="K46" i="33" s="1"/>
  <c r="R48" i="33"/>
  <c r="T48" i="33" s="1"/>
  <c r="R51" i="33"/>
  <c r="T51" i="33" s="1"/>
  <c r="I53" i="33"/>
  <c r="K53" i="33" s="1"/>
  <c r="R55" i="33"/>
  <c r="T55" i="33" s="1"/>
  <c r="I57" i="33"/>
  <c r="K57" i="33" s="1"/>
  <c r="R59" i="33"/>
  <c r="T59" i="33" s="1"/>
  <c r="I61" i="33"/>
  <c r="K61" i="33" s="1"/>
  <c r="R63" i="33"/>
  <c r="T63" i="33" s="1"/>
  <c r="I65" i="33"/>
  <c r="K65" i="33" s="1"/>
  <c r="R67" i="33"/>
  <c r="T67" i="33" s="1"/>
  <c r="I50" i="33"/>
  <c r="F69" i="33"/>
  <c r="H69" i="33" s="1"/>
  <c r="H60" i="33" l="1"/>
  <c r="P41" i="33"/>
  <c r="P56" i="33"/>
  <c r="G58" i="33"/>
  <c r="H43" i="33"/>
  <c r="P64" i="33"/>
  <c r="Q46" i="33"/>
  <c r="P60" i="33"/>
  <c r="G37" i="33"/>
  <c r="P31" i="33"/>
  <c r="H39" i="33"/>
  <c r="Q65" i="33"/>
  <c r="P61" i="33"/>
  <c r="G51" i="33"/>
  <c r="H64" i="33"/>
  <c r="H17" i="33"/>
  <c r="P14" i="33"/>
  <c r="Q53" i="33"/>
  <c r="G49" i="33"/>
  <c r="G31" i="33"/>
  <c r="H67" i="33"/>
  <c r="H40" i="33"/>
  <c r="G62" i="33"/>
  <c r="Q11" i="33"/>
  <c r="P45" i="33"/>
  <c r="P33" i="33"/>
  <c r="Q18" i="33"/>
  <c r="H27" i="33"/>
  <c r="Q43" i="33"/>
  <c r="H47" i="33"/>
  <c r="G59" i="33"/>
  <c r="H68" i="33"/>
  <c r="G24" i="33"/>
  <c r="G55" i="33"/>
  <c r="P37" i="33"/>
  <c r="P57" i="33"/>
  <c r="P35" i="33"/>
  <c r="G28" i="33"/>
  <c r="H21" i="33"/>
  <c r="Q15" i="33"/>
  <c r="H12" i="33"/>
  <c r="G12" i="33"/>
  <c r="P22" i="33"/>
  <c r="P28" i="33"/>
  <c r="P26" i="33"/>
  <c r="Q23" i="33"/>
  <c r="I69" i="33"/>
  <c r="K69" i="33" s="1"/>
  <c r="G66" i="33"/>
  <c r="G56" i="33"/>
  <c r="Q49" i="33"/>
  <c r="G45" i="33"/>
  <c r="H35" i="33"/>
  <c r="P16" i="33"/>
  <c r="H25" i="33"/>
  <c r="G15" i="33"/>
  <c r="Q19" i="33"/>
  <c r="H18" i="33"/>
  <c r="P20" i="33"/>
  <c r="P29" i="33"/>
  <c r="H20" i="33"/>
  <c r="H23" i="33"/>
  <c r="H16" i="33"/>
  <c r="P11" i="33"/>
  <c r="I10" i="33"/>
  <c r="K10" i="33" s="1"/>
  <c r="K70" i="33" s="1"/>
  <c r="R10" i="33"/>
  <c r="T10" i="33" s="1"/>
  <c r="G10" i="33"/>
  <c r="P10" i="33"/>
  <c r="Q50" i="33"/>
  <c r="H19" i="33"/>
  <c r="H11" i="33"/>
  <c r="P66" i="33"/>
  <c r="P58" i="33"/>
  <c r="H44" i="33"/>
  <c r="G69" i="33"/>
  <c r="P40" i="33"/>
  <c r="G11" i="33"/>
  <c r="K50" i="33"/>
  <c r="P50" i="33"/>
  <c r="Q42" i="33"/>
  <c r="G52" i="33"/>
  <c r="G35" i="33"/>
  <c r="Q25" i="33"/>
  <c r="Q21" i="33"/>
  <c r="Q17" i="33"/>
  <c r="Q13" i="33"/>
  <c r="T30" i="33"/>
  <c r="P62" i="33"/>
  <c r="P54" i="33"/>
  <c r="P47" i="33"/>
  <c r="K30" i="33"/>
  <c r="C21" i="25" l="1"/>
  <c r="B2" i="32" l="1"/>
  <c r="I29" i="31"/>
  <c r="I27" i="31"/>
  <c r="I26" i="31"/>
  <c r="G29" i="31"/>
  <c r="G27" i="31"/>
  <c r="G26" i="31"/>
  <c r="F9" i="31" l="1"/>
  <c r="D9" i="31"/>
  <c r="C41" i="30" l="1"/>
  <c r="D40" i="30"/>
  <c r="C40" i="30"/>
  <c r="B7" i="30"/>
  <c r="B6" i="30"/>
  <c r="A4" i="30"/>
  <c r="I32" i="31" l="1"/>
  <c r="I33" i="31"/>
  <c r="I31" i="31"/>
  <c r="H52" i="29"/>
  <c r="G33" i="31" s="1"/>
  <c r="H51" i="29"/>
  <c r="G32" i="31" s="1"/>
  <c r="H50" i="29"/>
  <c r="G31" i="31" s="1"/>
  <c r="F26" i="29"/>
  <c r="G7" i="29"/>
  <c r="X7" i="29" s="1"/>
  <c r="B7" i="29"/>
  <c r="S7" i="29" s="1"/>
  <c r="A5" i="29"/>
  <c r="R5" i="29" s="1"/>
  <c r="C13" i="29"/>
  <c r="D41" i="30"/>
  <c r="D13" i="30"/>
  <c r="G48" i="27"/>
  <c r="G36" i="27"/>
  <c r="G35" i="27"/>
  <c r="G30" i="27"/>
  <c r="G32" i="27"/>
  <c r="G21" i="27"/>
  <c r="G22" i="27"/>
  <c r="G16" i="27"/>
  <c r="E39" i="27" l="1"/>
  <c r="P17" i="10"/>
  <c r="P14" i="10"/>
  <c r="G14" i="27"/>
  <c r="D31" i="30"/>
  <c r="F30" i="27"/>
  <c r="D34" i="30"/>
  <c r="C39" i="27"/>
  <c r="F32" i="27"/>
  <c r="D29" i="30"/>
  <c r="F35" i="27"/>
  <c r="F14" i="27"/>
  <c r="CT2" i="32"/>
  <c r="T12" i="29"/>
  <c r="C4" i="31"/>
  <c r="D49" i="27"/>
  <c r="T13" i="29"/>
  <c r="C5" i="31"/>
  <c r="Y26" i="29"/>
  <c r="M36" i="34" l="1"/>
  <c r="M17" i="34"/>
  <c r="E154" i="25"/>
  <c r="P32" i="10"/>
  <c r="C38" i="30"/>
  <c r="O2" i="32"/>
  <c r="X32" i="29"/>
  <c r="D38" i="30"/>
  <c r="F39" i="27"/>
  <c r="G39" i="27"/>
  <c r="G47" i="27"/>
  <c r="G49" i="27"/>
  <c r="M35" i="34" l="1"/>
  <c r="E17" i="27"/>
  <c r="M16" i="34"/>
  <c r="E155" i="25"/>
  <c r="O69" i="33"/>
  <c r="G12" i="27" l="1"/>
  <c r="Q69" i="33"/>
  <c r="R69" i="33"/>
  <c r="T69" i="33" s="1"/>
  <c r="T70" i="33" s="1"/>
  <c r="P69" i="33"/>
  <c r="F12" i="27" l="1"/>
  <c r="D12" i="30"/>
  <c r="E21" i="25"/>
  <c r="E27" i="27" s="1"/>
  <c r="G15" i="27"/>
  <c r="F15" i="27"/>
  <c r="D14" i="30"/>
  <c r="C38" i="27"/>
  <c r="C35" i="27"/>
  <c r="C34" i="27"/>
  <c r="C32" i="27"/>
  <c r="C31" i="27"/>
  <c r="C30" i="27"/>
  <c r="C26" i="27"/>
  <c r="C13" i="30"/>
  <c r="B6" i="27"/>
  <c r="B7" i="27"/>
  <c r="A4" i="27"/>
  <c r="C30" i="30" l="1"/>
  <c r="C31" i="30"/>
  <c r="C37" i="30"/>
  <c r="C25" i="30"/>
  <c r="C33" i="30"/>
  <c r="C29" i="30"/>
  <c r="C34" i="30"/>
  <c r="B8" i="25"/>
  <c r="B7" i="25"/>
  <c r="A5" i="25"/>
  <c r="J8" i="24"/>
  <c r="N8" i="24" s="1"/>
  <c r="I8" i="24"/>
  <c r="M8" i="24" s="1"/>
  <c r="H7" i="24"/>
  <c r="L7" i="24" s="1"/>
  <c r="G7" i="24"/>
  <c r="K7" i="24" s="1"/>
  <c r="C12" i="30"/>
  <c r="B5" i="23"/>
  <c r="J5" i="23" s="1"/>
  <c r="H70" i="21"/>
  <c r="K69" i="21"/>
  <c r="H69" i="21"/>
  <c r="K68" i="21"/>
  <c r="H68" i="21"/>
  <c r="N68" i="21" s="1"/>
  <c r="K67" i="21"/>
  <c r="H67" i="21"/>
  <c r="K66" i="21"/>
  <c r="H66" i="21"/>
  <c r="N66" i="21" s="1"/>
  <c r="K65" i="21"/>
  <c r="H65" i="21"/>
  <c r="K64" i="21"/>
  <c r="H64" i="21"/>
  <c r="N64" i="21" s="1"/>
  <c r="K63" i="21"/>
  <c r="H63" i="21"/>
  <c r="K62" i="21"/>
  <c r="H62" i="21"/>
  <c r="N62" i="21" s="1"/>
  <c r="K61" i="21"/>
  <c r="H61" i="21"/>
  <c r="K60" i="21"/>
  <c r="H60" i="21"/>
  <c r="N60" i="21" s="1"/>
  <c r="K59" i="21"/>
  <c r="H59" i="21"/>
  <c r="K58" i="21"/>
  <c r="H58" i="21"/>
  <c r="N58" i="21" s="1"/>
  <c r="K57" i="21"/>
  <c r="H57" i="21"/>
  <c r="H56" i="21"/>
  <c r="N56" i="21" s="1"/>
  <c r="H55" i="21"/>
  <c r="Q55" i="21" s="1"/>
  <c r="S55" i="21" s="1"/>
  <c r="H54" i="21"/>
  <c r="N54" i="21" s="1"/>
  <c r="H53" i="21"/>
  <c r="H52" i="21"/>
  <c r="H51" i="21"/>
  <c r="K50" i="21"/>
  <c r="H50" i="21"/>
  <c r="J50" i="21" s="1"/>
  <c r="K49" i="21"/>
  <c r="H49" i="21"/>
  <c r="N49" i="21" s="1"/>
  <c r="K48" i="21"/>
  <c r="H48" i="21"/>
  <c r="N48" i="21" s="1"/>
  <c r="P48" i="21" s="1"/>
  <c r="K47" i="21"/>
  <c r="H47" i="21"/>
  <c r="N47" i="21" s="1"/>
  <c r="K46" i="21"/>
  <c r="H46" i="21"/>
  <c r="N46" i="21" s="1"/>
  <c r="P46" i="21" s="1"/>
  <c r="K45" i="21"/>
  <c r="H45" i="21"/>
  <c r="N45" i="21" s="1"/>
  <c r="K44" i="21"/>
  <c r="H44" i="21"/>
  <c r="N44" i="21" s="1"/>
  <c r="P44" i="21" s="1"/>
  <c r="K43" i="21"/>
  <c r="H43" i="21"/>
  <c r="N43" i="21" s="1"/>
  <c r="K42" i="21"/>
  <c r="H42" i="21"/>
  <c r="J42" i="21" s="1"/>
  <c r="K41" i="21"/>
  <c r="H41" i="21"/>
  <c r="N41" i="21" s="1"/>
  <c r="O41" i="21" s="1"/>
  <c r="K40" i="21"/>
  <c r="H40" i="21"/>
  <c r="N40" i="21" s="1"/>
  <c r="P40" i="21" s="1"/>
  <c r="K39" i="21"/>
  <c r="H39" i="21"/>
  <c r="N39" i="21" s="1"/>
  <c r="K38" i="21"/>
  <c r="H38" i="21"/>
  <c r="J38" i="21" s="1"/>
  <c r="K37" i="21"/>
  <c r="H37" i="21"/>
  <c r="N37" i="21" s="1"/>
  <c r="K36" i="21"/>
  <c r="H36" i="21"/>
  <c r="N36" i="21" s="1"/>
  <c r="P36" i="21" s="1"/>
  <c r="K35" i="21"/>
  <c r="H35" i="21"/>
  <c r="N35" i="21" s="1"/>
  <c r="K34" i="21"/>
  <c r="H34" i="21"/>
  <c r="J34" i="21" s="1"/>
  <c r="H33" i="21"/>
  <c r="N33" i="21" s="1"/>
  <c r="H31" i="21"/>
  <c r="N31" i="21" s="1"/>
  <c r="P31" i="21" s="1"/>
  <c r="N30" i="21"/>
  <c r="O30" i="21" s="1"/>
  <c r="K15" i="21"/>
  <c r="K16" i="21"/>
  <c r="K17" i="21"/>
  <c r="K18" i="21"/>
  <c r="K19" i="21"/>
  <c r="K20" i="21"/>
  <c r="K21" i="21"/>
  <c r="K22" i="21"/>
  <c r="K23" i="21"/>
  <c r="K24" i="21"/>
  <c r="K25" i="21"/>
  <c r="K26" i="21"/>
  <c r="K27" i="21"/>
  <c r="K28" i="21"/>
  <c r="K29" i="21"/>
  <c r="H15" i="21"/>
  <c r="H16" i="21"/>
  <c r="H17" i="21"/>
  <c r="H18" i="21"/>
  <c r="H19" i="21"/>
  <c r="H20" i="21"/>
  <c r="H21" i="21"/>
  <c r="H22" i="21"/>
  <c r="H23" i="21"/>
  <c r="H24" i="21"/>
  <c r="H25" i="21"/>
  <c r="H26" i="21"/>
  <c r="H27" i="21"/>
  <c r="H28" i="21"/>
  <c r="H29" i="21"/>
  <c r="A4" i="21"/>
  <c r="T55" i="21" l="1"/>
  <c r="U55" i="21" s="1"/>
  <c r="H71" i="21"/>
  <c r="N55" i="21"/>
  <c r="C27" i="25"/>
  <c r="C33" i="27" s="1"/>
  <c r="J29" i="21"/>
  <c r="J25" i="21"/>
  <c r="J21" i="21"/>
  <c r="J17" i="21"/>
  <c r="J24" i="21"/>
  <c r="J26" i="21"/>
  <c r="J22" i="21"/>
  <c r="J18" i="21"/>
  <c r="J28" i="21"/>
  <c r="J20" i="21"/>
  <c r="J16" i="21"/>
  <c r="J27" i="21"/>
  <c r="J23" i="21"/>
  <c r="J19" i="21"/>
  <c r="J15" i="21"/>
  <c r="P55" i="21"/>
  <c r="N57" i="21"/>
  <c r="P57" i="21" s="1"/>
  <c r="Q57" i="21"/>
  <c r="S57" i="21" s="1"/>
  <c r="N59" i="21"/>
  <c r="P59" i="21" s="1"/>
  <c r="Q59" i="21"/>
  <c r="S59" i="21" s="1"/>
  <c r="N61" i="21"/>
  <c r="P61" i="21" s="1"/>
  <c r="Q61" i="21"/>
  <c r="S61" i="21" s="1"/>
  <c r="N63" i="21"/>
  <c r="P63" i="21" s="1"/>
  <c r="Q63" i="21"/>
  <c r="S63" i="21" s="1"/>
  <c r="N65" i="21"/>
  <c r="P65" i="21" s="1"/>
  <c r="Q65" i="21"/>
  <c r="S65" i="21" s="1"/>
  <c r="N67" i="21"/>
  <c r="P67" i="21" s="1"/>
  <c r="Q67" i="21"/>
  <c r="S67" i="21" s="1"/>
  <c r="N69" i="21"/>
  <c r="P69" i="21" s="1"/>
  <c r="Q69" i="21"/>
  <c r="S69" i="21" s="1"/>
  <c r="N53" i="21"/>
  <c r="P53" i="21" s="1"/>
  <c r="N51" i="21"/>
  <c r="P51" i="21" s="1"/>
  <c r="N34" i="21"/>
  <c r="P34" i="21" s="1"/>
  <c r="J36" i="21"/>
  <c r="J40" i="21"/>
  <c r="N42" i="21"/>
  <c r="P42" i="21" s="1"/>
  <c r="J48" i="21"/>
  <c r="N50" i="21"/>
  <c r="P50" i="21" s="1"/>
  <c r="J31" i="21"/>
  <c r="N70" i="21"/>
  <c r="O70" i="21" s="1"/>
  <c r="G31" i="27"/>
  <c r="D30" i="30"/>
  <c r="F31" i="27"/>
  <c r="D33" i="30"/>
  <c r="G34" i="27"/>
  <c r="F34" i="27"/>
  <c r="D37" i="30"/>
  <c r="F38" i="27"/>
  <c r="G38" i="27"/>
  <c r="C14" i="30"/>
  <c r="D19" i="25"/>
  <c r="D13" i="25"/>
  <c r="N52" i="21"/>
  <c r="P52" i="21" s="1"/>
  <c r="J52" i="21"/>
  <c r="O56" i="21"/>
  <c r="O58" i="21"/>
  <c r="O60" i="21"/>
  <c r="O62" i="21"/>
  <c r="O64" i="21"/>
  <c r="O66" i="21"/>
  <c r="O68" i="21"/>
  <c r="J56" i="21"/>
  <c r="J60" i="21"/>
  <c r="P60" i="21"/>
  <c r="J64" i="21"/>
  <c r="P64" i="21"/>
  <c r="J68" i="21"/>
  <c r="P68" i="21"/>
  <c r="Q54" i="21"/>
  <c r="S54" i="21" s="1"/>
  <c r="O55" i="21"/>
  <c r="Q56" i="21"/>
  <c r="S56" i="21" s="1"/>
  <c r="Q58" i="21"/>
  <c r="S58" i="21" s="1"/>
  <c r="Q60" i="21"/>
  <c r="S60" i="21" s="1"/>
  <c r="Q62" i="21"/>
  <c r="S62" i="21" s="1"/>
  <c r="Q64" i="21"/>
  <c r="S64" i="21" s="1"/>
  <c r="Q66" i="21"/>
  <c r="S66" i="21" s="1"/>
  <c r="Q68" i="21"/>
  <c r="S68" i="21" s="1"/>
  <c r="O54" i="21"/>
  <c r="J54" i="21"/>
  <c r="P54" i="21"/>
  <c r="P56" i="21"/>
  <c r="J58" i="21"/>
  <c r="P58" i="21"/>
  <c r="J62" i="21"/>
  <c r="P62" i="21"/>
  <c r="J66" i="21"/>
  <c r="P66" i="21"/>
  <c r="J70" i="21"/>
  <c r="K70" i="21" s="1"/>
  <c r="J51" i="21"/>
  <c r="J53" i="21"/>
  <c r="J55" i="21"/>
  <c r="J57" i="21"/>
  <c r="J59" i="21"/>
  <c r="J61" i="21"/>
  <c r="J63" i="21"/>
  <c r="J65" i="21"/>
  <c r="J67" i="21"/>
  <c r="J69" i="21"/>
  <c r="N23" i="21"/>
  <c r="P23" i="21" s="1"/>
  <c r="Q27" i="21"/>
  <c r="S27" i="21" s="1"/>
  <c r="Q23" i="21"/>
  <c r="S23" i="21" s="1"/>
  <c r="Q16" i="21"/>
  <c r="S16" i="21" s="1"/>
  <c r="O31" i="21"/>
  <c r="Q31" i="21"/>
  <c r="S31" i="21" s="1"/>
  <c r="N38" i="21"/>
  <c r="P38" i="21" s="1"/>
  <c r="O40" i="21"/>
  <c r="Q40" i="21"/>
  <c r="S40" i="21" s="1"/>
  <c r="O48" i="21"/>
  <c r="Q48" i="21"/>
  <c r="S48" i="21" s="1"/>
  <c r="N27" i="21"/>
  <c r="P27" i="21" s="1"/>
  <c r="O46" i="21"/>
  <c r="Q26" i="21"/>
  <c r="S26" i="21" s="1"/>
  <c r="Q22" i="21"/>
  <c r="S22" i="21" s="1"/>
  <c r="N19" i="21"/>
  <c r="P19" i="21" s="1"/>
  <c r="Q15" i="21"/>
  <c r="S15" i="21" s="1"/>
  <c r="O36" i="21"/>
  <c r="Q36" i="21"/>
  <c r="S36" i="21" s="1"/>
  <c r="O44" i="21"/>
  <c r="Q44" i="21"/>
  <c r="S44" i="21" s="1"/>
  <c r="J46" i="21"/>
  <c r="Q19" i="21"/>
  <c r="S19" i="21" s="1"/>
  <c r="Q38" i="21"/>
  <c r="S38" i="21" s="1"/>
  <c r="Q46" i="21"/>
  <c r="S46" i="21" s="1"/>
  <c r="Q28" i="21"/>
  <c r="S28" i="21" s="1"/>
  <c r="Q24" i="21"/>
  <c r="S24" i="21" s="1"/>
  <c r="Q20" i="21"/>
  <c r="S20" i="21" s="1"/>
  <c r="Q18" i="21"/>
  <c r="S18" i="21" s="1"/>
  <c r="N15" i="21"/>
  <c r="P15" i="21" s="1"/>
  <c r="N11" i="21"/>
  <c r="Q34" i="21"/>
  <c r="S34" i="21" s="1"/>
  <c r="Q42" i="21"/>
  <c r="S42" i="21" s="1"/>
  <c r="J44" i="21"/>
  <c r="O50" i="21"/>
  <c r="Q50" i="21"/>
  <c r="S50" i="21" s="1"/>
  <c r="O37" i="21"/>
  <c r="O39" i="21"/>
  <c r="O43" i="21"/>
  <c r="O45" i="21"/>
  <c r="O47" i="21"/>
  <c r="O49" i="21"/>
  <c r="J30" i="21"/>
  <c r="P30" i="21"/>
  <c r="J33" i="21"/>
  <c r="P33" i="21"/>
  <c r="J35" i="21"/>
  <c r="J37" i="21"/>
  <c r="P37" i="21"/>
  <c r="J39" i="21"/>
  <c r="P39" i="21"/>
  <c r="J41" i="21"/>
  <c r="P41" i="21"/>
  <c r="J43" i="21"/>
  <c r="P43" i="21"/>
  <c r="J45" i="21"/>
  <c r="P45" i="21"/>
  <c r="J47" i="21"/>
  <c r="P47" i="21"/>
  <c r="J49" i="21"/>
  <c r="P49" i="21"/>
  <c r="Q30" i="21"/>
  <c r="Q33" i="21"/>
  <c r="S33" i="21" s="1"/>
  <c r="Q35" i="21"/>
  <c r="S35" i="21" s="1"/>
  <c r="Q37" i="21"/>
  <c r="S37" i="21" s="1"/>
  <c r="Q39" i="21"/>
  <c r="S39" i="21" s="1"/>
  <c r="Q41" i="21"/>
  <c r="S41" i="21" s="1"/>
  <c r="Q43" i="21"/>
  <c r="S43" i="21" s="1"/>
  <c r="Q45" i="21"/>
  <c r="S45" i="21" s="1"/>
  <c r="Q47" i="21"/>
  <c r="S47" i="21" s="1"/>
  <c r="Q49" i="21"/>
  <c r="S49" i="21" s="1"/>
  <c r="O33" i="21"/>
  <c r="O35" i="21"/>
  <c r="P35" i="21"/>
  <c r="Q29" i="21"/>
  <c r="S29" i="21" s="1"/>
  <c r="Q25" i="21"/>
  <c r="S25" i="21" s="1"/>
  <c r="Q21" i="21"/>
  <c r="S21" i="21" s="1"/>
  <c r="Q17" i="21"/>
  <c r="S17" i="21" s="1"/>
  <c r="N29" i="21"/>
  <c r="O29" i="21" s="1"/>
  <c r="N28" i="21"/>
  <c r="O28" i="21" s="1"/>
  <c r="N26" i="21"/>
  <c r="P26" i="21" s="1"/>
  <c r="N25" i="21"/>
  <c r="O25" i="21" s="1"/>
  <c r="N24" i="21"/>
  <c r="O24" i="21" s="1"/>
  <c r="N22" i="21"/>
  <c r="P22" i="21" s="1"/>
  <c r="N21" i="21"/>
  <c r="O21" i="21" s="1"/>
  <c r="N20" i="21"/>
  <c r="O20" i="21" s="1"/>
  <c r="N18" i="21"/>
  <c r="O18" i="21" s="1"/>
  <c r="N17" i="21"/>
  <c r="O17" i="21" s="1"/>
  <c r="N16" i="21"/>
  <c r="O16" i="21" s="1"/>
  <c r="N14" i="21"/>
  <c r="N13" i="21"/>
  <c r="O13" i="21" s="1"/>
  <c r="N12" i="21"/>
  <c r="O12" i="21" s="1"/>
  <c r="G91" i="18"/>
  <c r="K11" i="18"/>
  <c r="J72" i="18"/>
  <c r="J73" i="18"/>
  <c r="J74" i="18"/>
  <c r="J75" i="18"/>
  <c r="J76" i="18"/>
  <c r="J77" i="18"/>
  <c r="J78" i="18"/>
  <c r="J79" i="18"/>
  <c r="J80" i="18"/>
  <c r="J81" i="18"/>
  <c r="J82" i="18"/>
  <c r="J83" i="18"/>
  <c r="J84" i="18"/>
  <c r="J85" i="18"/>
  <c r="J86" i="18"/>
  <c r="J87" i="18"/>
  <c r="J88" i="18"/>
  <c r="J89" i="18"/>
  <c r="J90" i="18"/>
  <c r="H91" i="18"/>
  <c r="D12" i="25" l="1"/>
  <c r="D34" i="25" s="1"/>
  <c r="T21" i="21"/>
  <c r="U21" i="21" s="1"/>
  <c r="T37" i="21"/>
  <c r="U37" i="21" s="1"/>
  <c r="T18" i="21"/>
  <c r="U18" i="21" s="1"/>
  <c r="T44" i="21"/>
  <c r="U44" i="21"/>
  <c r="U40" i="21"/>
  <c r="T40" i="21"/>
  <c r="T64" i="21"/>
  <c r="U64" i="21" s="1"/>
  <c r="T65" i="21"/>
  <c r="U65" i="21" s="1"/>
  <c r="T57" i="21"/>
  <c r="U57" i="21" s="1"/>
  <c r="T35" i="21"/>
  <c r="U35" i="21" s="1"/>
  <c r="T34" i="21"/>
  <c r="U34" i="21" s="1"/>
  <c r="T38" i="21"/>
  <c r="U38" i="21" s="1"/>
  <c r="T62" i="21"/>
  <c r="U62" i="21"/>
  <c r="T29" i="21"/>
  <c r="U29" i="21" s="1"/>
  <c r="T49" i="21"/>
  <c r="U49" i="21"/>
  <c r="T41" i="21"/>
  <c r="U41" i="21" s="1"/>
  <c r="T33" i="21"/>
  <c r="U33" i="21"/>
  <c r="T24" i="21"/>
  <c r="U24" i="21" s="1"/>
  <c r="T19" i="21"/>
  <c r="U19" i="21" s="1"/>
  <c r="T36" i="21"/>
  <c r="U36" i="21" s="1"/>
  <c r="T22" i="21"/>
  <c r="U22" i="21" s="1"/>
  <c r="T48" i="21"/>
  <c r="U48" i="21" s="1"/>
  <c r="T23" i="21"/>
  <c r="U23" i="21" s="1"/>
  <c r="T68" i="21"/>
  <c r="U68" i="21" s="1"/>
  <c r="T60" i="21"/>
  <c r="U60" i="21"/>
  <c r="T54" i="21"/>
  <c r="U54" i="21" s="1"/>
  <c r="T67" i="21"/>
  <c r="U67" i="21" s="1"/>
  <c r="T63" i="21"/>
  <c r="U63" i="21" s="1"/>
  <c r="T59" i="21"/>
  <c r="U59" i="21" s="1"/>
  <c r="T45" i="21"/>
  <c r="U45" i="21" s="1"/>
  <c r="T42" i="21"/>
  <c r="U42" i="21" s="1"/>
  <c r="T46" i="21"/>
  <c r="U46" i="21" s="1"/>
  <c r="T15" i="21"/>
  <c r="U15" i="21" s="1"/>
  <c r="U56" i="21"/>
  <c r="T56" i="21"/>
  <c r="T69" i="21"/>
  <c r="U69" i="21" s="1"/>
  <c r="T61" i="21"/>
  <c r="U61" i="21" s="1"/>
  <c r="T25" i="21"/>
  <c r="U25" i="21"/>
  <c r="T43" i="21"/>
  <c r="U43" i="21" s="1"/>
  <c r="T50" i="21"/>
  <c r="U50" i="21"/>
  <c r="T20" i="21"/>
  <c r="U20" i="21" s="1"/>
  <c r="T16" i="21"/>
  <c r="U16" i="21"/>
  <c r="T17" i="21"/>
  <c r="U17" i="21" s="1"/>
  <c r="T47" i="21"/>
  <c r="U47" i="21" s="1"/>
  <c r="T39" i="21"/>
  <c r="U39" i="21" s="1"/>
  <c r="T28" i="21"/>
  <c r="U28" i="21" s="1"/>
  <c r="T26" i="21"/>
  <c r="U26" i="21" s="1"/>
  <c r="T31" i="21"/>
  <c r="U31" i="21" s="1"/>
  <c r="T27" i="21"/>
  <c r="U27" i="21" s="1"/>
  <c r="T66" i="21"/>
  <c r="U66" i="21"/>
  <c r="T58" i="21"/>
  <c r="U58" i="21" s="1"/>
  <c r="J71" i="21"/>
  <c r="N71" i="21"/>
  <c r="O34" i="21"/>
  <c r="O23" i="21"/>
  <c r="O63" i="21"/>
  <c r="O15" i="21"/>
  <c r="O26" i="21"/>
  <c r="Q13" i="21"/>
  <c r="S13" i="21" s="1"/>
  <c r="O19" i="21"/>
  <c r="O27" i="21"/>
  <c r="O22" i="21"/>
  <c r="O67" i="21"/>
  <c r="O59" i="21"/>
  <c r="O53" i="21"/>
  <c r="Q53" i="21"/>
  <c r="S53" i="21" s="1"/>
  <c r="Q52" i="21"/>
  <c r="S52" i="21" s="1"/>
  <c r="Q51" i="21"/>
  <c r="S51" i="21" s="1"/>
  <c r="Q14" i="21"/>
  <c r="S14" i="21" s="1"/>
  <c r="O14" i="21"/>
  <c r="P11" i="21"/>
  <c r="O11" i="21"/>
  <c r="O52" i="21"/>
  <c r="Q11" i="21"/>
  <c r="Q12" i="21"/>
  <c r="S12" i="21" s="1"/>
  <c r="O38" i="21"/>
  <c r="O69" i="21"/>
  <c r="O65" i="21"/>
  <c r="O61" i="21"/>
  <c r="O57" i="21"/>
  <c r="O42" i="21"/>
  <c r="O51" i="21"/>
  <c r="Q70" i="21"/>
  <c r="S70" i="21" s="1"/>
  <c r="P70" i="21"/>
  <c r="C32" i="30"/>
  <c r="S30" i="21"/>
  <c r="P13" i="21"/>
  <c r="P24" i="21"/>
  <c r="P21" i="21"/>
  <c r="P17" i="21"/>
  <c r="P16" i="21"/>
  <c r="P29" i="21"/>
  <c r="P14" i="21"/>
  <c r="P20" i="21"/>
  <c r="P25" i="21"/>
  <c r="P12" i="21"/>
  <c r="P28" i="21"/>
  <c r="P18" i="21"/>
  <c r="J91" i="18"/>
  <c r="F64" i="18"/>
  <c r="G93" i="18" s="1"/>
  <c r="K12" i="18"/>
  <c r="K13" i="18"/>
  <c r="K14" i="18"/>
  <c r="K15" i="18"/>
  <c r="K16" i="18"/>
  <c r="K17" i="18"/>
  <c r="K18" i="18"/>
  <c r="K53" i="18"/>
  <c r="K54" i="18"/>
  <c r="K55" i="18"/>
  <c r="K56" i="18"/>
  <c r="K57" i="18"/>
  <c r="K59" i="18"/>
  <c r="K60" i="18"/>
  <c r="K61" i="18"/>
  <c r="K62" i="18"/>
  <c r="K63" i="18"/>
  <c r="K19" i="18"/>
  <c r="H12" i="18"/>
  <c r="H13" i="18"/>
  <c r="H14" i="18"/>
  <c r="H15" i="18"/>
  <c r="H16" i="18"/>
  <c r="H17" i="18"/>
  <c r="H18" i="18"/>
  <c r="H19" i="18"/>
  <c r="H53" i="18"/>
  <c r="H55" i="18"/>
  <c r="H56" i="18"/>
  <c r="H57" i="18"/>
  <c r="H58" i="18"/>
  <c r="H59" i="18"/>
  <c r="H60" i="18"/>
  <c r="H61" i="18"/>
  <c r="H62" i="18"/>
  <c r="H63" i="18"/>
  <c r="H11" i="18"/>
  <c r="G5" i="18"/>
  <c r="C5" i="18"/>
  <c r="A3" i="18"/>
  <c r="T70" i="21" l="1"/>
  <c r="U70" i="21" s="1"/>
  <c r="T53" i="21"/>
  <c r="U53" i="21" s="1"/>
  <c r="U13" i="21"/>
  <c r="T13" i="21"/>
  <c r="T30" i="21"/>
  <c r="U30" i="21"/>
  <c r="U51" i="21"/>
  <c r="T51" i="21"/>
  <c r="T12" i="21"/>
  <c r="U12" i="21" s="1"/>
  <c r="T52" i="21"/>
  <c r="U52" i="21" s="1"/>
  <c r="T14" i="21"/>
  <c r="U14" i="21" s="1"/>
  <c r="S11" i="21"/>
  <c r="Q71" i="21"/>
  <c r="O71" i="21"/>
  <c r="P71" i="21"/>
  <c r="K71" i="21"/>
  <c r="H64" i="18"/>
  <c r="H93" i="18" s="1"/>
  <c r="C22" i="25" s="1"/>
  <c r="C28" i="27" s="1"/>
  <c r="K64" i="18"/>
  <c r="J93" i="18" s="1"/>
  <c r="E22" i="25" s="1"/>
  <c r="E28" i="27" s="1"/>
  <c r="T11" i="21" l="1"/>
  <c r="U11" i="21" s="1"/>
  <c r="T71" i="21"/>
  <c r="S71" i="21"/>
  <c r="C27" i="30"/>
  <c r="G27" i="27"/>
  <c r="F28" i="27"/>
  <c r="D27" i="30"/>
  <c r="G28" i="27"/>
  <c r="D26" i="30"/>
  <c r="F27" i="27"/>
  <c r="D5" i="16"/>
  <c r="B5" i="16"/>
  <c r="A3" i="16"/>
  <c r="E11" i="16"/>
  <c r="E14" i="16"/>
  <c r="E7" i="16"/>
  <c r="U71" i="21" l="1"/>
  <c r="E27" i="25" s="1"/>
  <c r="E20" i="16"/>
  <c r="C27" i="27"/>
  <c r="D14" i="16"/>
  <c r="D11" i="16"/>
  <c r="B4" i="15"/>
  <c r="A3" i="15"/>
  <c r="B4" i="14"/>
  <c r="A3" i="14"/>
  <c r="E4" i="13"/>
  <c r="C4" i="13"/>
  <c r="A3" i="13"/>
  <c r="D41" i="13"/>
  <c r="F40" i="13"/>
  <c r="F39" i="13"/>
  <c r="F38" i="13"/>
  <c r="F36" i="13"/>
  <c r="F35" i="13"/>
  <c r="F34" i="13"/>
  <c r="C14" i="25" s="1"/>
  <c r="C20" i="27" s="1"/>
  <c r="D32" i="13"/>
  <c r="F31" i="13"/>
  <c r="F26" i="13"/>
  <c r="F24" i="13"/>
  <c r="D24" i="13"/>
  <c r="G23" i="13"/>
  <c r="G22" i="13"/>
  <c r="H22" i="13" s="1"/>
  <c r="I22" i="13" s="1"/>
  <c r="G21" i="13"/>
  <c r="H21" i="13" s="1"/>
  <c r="I21" i="13" s="1"/>
  <c r="G20" i="13"/>
  <c r="G19" i="13"/>
  <c r="G18" i="13"/>
  <c r="H18" i="13" s="1"/>
  <c r="I18" i="13" s="1"/>
  <c r="D16" i="13"/>
  <c r="F15" i="13"/>
  <c r="F14" i="13"/>
  <c r="F13" i="13"/>
  <c r="F12" i="13"/>
  <c r="F11" i="13"/>
  <c r="F10" i="13"/>
  <c r="H52" i="10"/>
  <c r="H55" i="10" s="1"/>
  <c r="G52" i="10"/>
  <c r="G55" i="10" s="1"/>
  <c r="F52" i="10"/>
  <c r="F55" i="10" s="1"/>
  <c r="E52" i="10"/>
  <c r="E55" i="10" s="1"/>
  <c r="H51" i="10"/>
  <c r="H54" i="10" s="1"/>
  <c r="G51" i="10"/>
  <c r="G54" i="10" s="1"/>
  <c r="F51" i="10"/>
  <c r="F54" i="10" s="1"/>
  <c r="E51" i="10"/>
  <c r="E54" i="10" s="1"/>
  <c r="D49" i="10"/>
  <c r="D48" i="10"/>
  <c r="D47" i="10"/>
  <c r="H45" i="10"/>
  <c r="G45" i="10"/>
  <c r="G43" i="10" s="1"/>
  <c r="F45" i="10"/>
  <c r="F43" i="10" s="1"/>
  <c r="E45" i="10"/>
  <c r="E43" i="10" s="1"/>
  <c r="H43" i="10"/>
  <c r="D42" i="10"/>
  <c r="D41" i="10"/>
  <c r="D40" i="10"/>
  <c r="H38" i="10"/>
  <c r="H36" i="10" s="1"/>
  <c r="G38" i="10"/>
  <c r="G36" i="10" s="1"/>
  <c r="F38" i="10"/>
  <c r="F36" i="10" s="1"/>
  <c r="E38" i="10"/>
  <c r="E36" i="10" s="1"/>
  <c r="D33" i="10"/>
  <c r="D32" i="10"/>
  <c r="D31" i="10"/>
  <c r="H29" i="10"/>
  <c r="H27" i="10" s="1"/>
  <c r="G29" i="10"/>
  <c r="G27" i="10" s="1"/>
  <c r="F29" i="10"/>
  <c r="F27" i="10" s="1"/>
  <c r="E29" i="10"/>
  <c r="E27" i="10" s="1"/>
  <c r="F7" i="10"/>
  <c r="Q7" i="10" s="1"/>
  <c r="B7" i="10"/>
  <c r="N7" i="10" s="1"/>
  <c r="A5" i="10"/>
  <c r="M5" i="10" s="1"/>
  <c r="A4" i="9"/>
  <c r="D10" i="9"/>
  <c r="C10" i="9"/>
  <c r="E33" i="27" l="1"/>
  <c r="C36" i="27"/>
  <c r="C18" i="25"/>
  <c r="H35" i="10"/>
  <c r="H26" i="10" s="1"/>
  <c r="F33" i="27"/>
  <c r="D51" i="10"/>
  <c r="C26" i="30"/>
  <c r="H20" i="13"/>
  <c r="I20" i="13" s="1"/>
  <c r="F32" i="13"/>
  <c r="F16" i="13"/>
  <c r="H19" i="13"/>
  <c r="I19" i="13" s="1"/>
  <c r="H23" i="13"/>
  <c r="I23" i="13" s="1"/>
  <c r="G24" i="13"/>
  <c r="H24" i="13" s="1"/>
  <c r="D38" i="10"/>
  <c r="D27" i="10"/>
  <c r="G35" i="10"/>
  <c r="G26" i="10" s="1"/>
  <c r="D52" i="10"/>
  <c r="D29" i="10"/>
  <c r="D43" i="10"/>
  <c r="D45" i="10"/>
  <c r="D36" i="10"/>
  <c r="E35" i="10"/>
  <c r="E26" i="10" s="1"/>
  <c r="F35" i="10"/>
  <c r="C24" i="27" l="1"/>
  <c r="C23" i="30" s="1"/>
  <c r="F10" i="15"/>
  <c r="D32" i="30"/>
  <c r="G33" i="27"/>
  <c r="C35" i="30"/>
  <c r="C19" i="30"/>
  <c r="C21" i="30"/>
  <c r="G10" i="15"/>
  <c r="I24" i="13"/>
  <c r="F26" i="10"/>
  <c r="D26" i="10" s="1"/>
  <c r="D44" i="10"/>
  <c r="D37" i="10"/>
  <c r="D28" i="10"/>
  <c r="D35" i="10"/>
  <c r="K17" i="6"/>
  <c r="F21" i="27" l="1"/>
  <c r="E18" i="25"/>
  <c r="E24" i="27" s="1"/>
  <c r="E16" i="25"/>
  <c r="D62" i="10"/>
  <c r="F48" i="27"/>
  <c r="C22" i="30"/>
  <c r="K18" i="6"/>
  <c r="E22" i="27" l="1"/>
  <c r="D21" i="30" s="1"/>
  <c r="D20" i="30"/>
  <c r="G16" i="31"/>
  <c r="G17" i="31"/>
  <c r="C15" i="30"/>
  <c r="E17" i="25"/>
  <c r="E23" i="27" s="1"/>
  <c r="G61" i="15"/>
  <c r="F61" i="15"/>
  <c r="D23" i="30"/>
  <c r="G24" i="27"/>
  <c r="G15" i="31"/>
  <c r="F24" i="27"/>
  <c r="K19" i="6"/>
  <c r="K20" i="6" s="1"/>
  <c r="K21" i="6" s="1"/>
  <c r="K22" i="6" s="1"/>
  <c r="F22" i="27" l="1"/>
  <c r="G26" i="29"/>
  <c r="G18" i="31"/>
  <c r="C11" i="30"/>
  <c r="E19" i="27"/>
  <c r="F19" i="27" s="1"/>
  <c r="G23" i="27"/>
  <c r="D22" i="30"/>
  <c r="F23" i="27"/>
  <c r="I16" i="31"/>
  <c r="I17" i="31"/>
  <c r="C13" i="25"/>
  <c r="E13" i="25" l="1"/>
  <c r="E153" i="25" s="1"/>
  <c r="E156" i="25" s="1"/>
  <c r="F20" i="27"/>
  <c r="D19" i="30"/>
  <c r="G20" i="27"/>
  <c r="D18" i="30"/>
  <c r="G19" i="27"/>
  <c r="I15" i="31"/>
  <c r="I18" i="31" s="1"/>
  <c r="C19" i="27"/>
  <c r="C20" i="30"/>
  <c r="C49" i="27"/>
  <c r="C48" i="30" s="1"/>
  <c r="F16" i="27"/>
  <c r="D15" i="30"/>
  <c r="X26" i="29"/>
  <c r="C18" i="30" l="1"/>
  <c r="D11" i="30" l="1"/>
  <c r="G11" i="27"/>
  <c r="F11" i="27"/>
  <c r="D17" i="10"/>
  <c r="F47" i="27" l="1"/>
  <c r="D28" i="30" l="1"/>
  <c r="G29" i="27"/>
  <c r="F49" i="27"/>
  <c r="F29" i="27"/>
  <c r="P18" i="10" l="1"/>
  <c r="D35" i="30" l="1"/>
  <c r="F36" i="27"/>
  <c r="A2" i="34"/>
  <c r="J2" i="34" s="1"/>
  <c r="A2" i="33"/>
  <c r="G17" i="27"/>
  <c r="A2" i="32"/>
  <c r="A3" i="30"/>
  <c r="C11" i="29"/>
  <c r="A3" i="29"/>
  <c r="R3" i="29" s="1"/>
  <c r="A3" i="27"/>
  <c r="A2" i="23"/>
  <c r="I2" i="23" s="1"/>
  <c r="A3" i="25"/>
  <c r="A3" i="21"/>
  <c r="A2" i="18"/>
  <c r="A2" i="16"/>
  <c r="A2" i="13"/>
  <c r="A2" i="15"/>
  <c r="A2" i="14"/>
  <c r="A3" i="10"/>
  <c r="M3" i="10" s="1"/>
  <c r="A3" i="7"/>
  <c r="C4" i="6"/>
  <c r="F17" i="27" l="1"/>
  <c r="D16" i="30"/>
  <c r="T11" i="29"/>
  <c r="C3" i="31"/>
  <c r="D14" i="10" l="1"/>
  <c r="D64" i="10" s="1"/>
  <c r="C17" i="27" l="1"/>
  <c r="D16" i="34"/>
  <c r="D50" i="34"/>
  <c r="D35" i="34"/>
  <c r="G26" i="27"/>
  <c r="E19" i="25"/>
  <c r="D18" i="10"/>
  <c r="E12" i="25" l="1"/>
  <c r="F12" i="25" s="1"/>
  <c r="E25" i="27"/>
  <c r="F26" i="27"/>
  <c r="D25" i="30"/>
  <c r="G25" i="27" l="1"/>
  <c r="E18" i="27"/>
  <c r="D24" i="30"/>
  <c r="F25" i="27"/>
  <c r="C16" i="30"/>
  <c r="C19" i="25"/>
  <c r="C12" i="25" s="1"/>
  <c r="C29" i="27"/>
  <c r="D34" i="34" l="1"/>
  <c r="D15" i="34"/>
  <c r="D13" i="34" s="1"/>
  <c r="D49" i="34"/>
  <c r="D47" i="34" s="1"/>
  <c r="D52" i="34" s="1"/>
  <c r="D32" i="34"/>
  <c r="D37" i="34" s="1"/>
  <c r="C25" i="27"/>
  <c r="C28" i="30"/>
  <c r="C18" i="27" l="1"/>
  <c r="C46" i="27" s="1"/>
  <c r="C45" i="30" s="1"/>
  <c r="D18" i="34"/>
  <c r="C24" i="30"/>
  <c r="C17" i="30" l="1"/>
  <c r="D20" i="34"/>
  <c r="C39" i="30" l="1"/>
  <c r="C53" i="27"/>
  <c r="C52" i="30" s="1"/>
  <c r="F38" i="29"/>
  <c r="G40" i="27" l="1"/>
  <c r="M34" i="34" l="1"/>
  <c r="M32" i="34" s="1"/>
  <c r="M37" i="34" s="1"/>
  <c r="M15" i="34"/>
  <c r="M13" i="34" s="1"/>
  <c r="M18" i="34" s="1"/>
  <c r="M20" i="34" s="1"/>
  <c r="G18" i="27" l="1"/>
  <c r="F18" i="27"/>
  <c r="D17" i="30"/>
  <c r="D39" i="30" l="1"/>
  <c r="F40" i="27"/>
  <c r="G46" i="27"/>
  <c r="L149" i="23" l="1"/>
  <c r="L151" i="23" s="1"/>
  <c r="L55" i="23" l="1"/>
  <c r="L54" i="23" s="1"/>
  <c r="L66" i="23" s="1"/>
  <c r="L79" i="23" l="1"/>
  <c r="L81" i="23" s="1"/>
  <c r="L83" i="23" s="1"/>
  <c r="L93" i="23" s="1"/>
  <c r="L91" i="23"/>
  <c r="L95" i="23" l="1"/>
  <c r="BT2" i="32" s="1"/>
  <c r="BU2" i="32" s="1"/>
  <c r="L101" i="23" l="1"/>
  <c r="L103" i="23" s="1"/>
  <c r="E43" i="27" s="1"/>
  <c r="F43" i="27" s="1"/>
  <c r="F46" i="27" s="1"/>
  <c r="E46" i="27" l="1"/>
  <c r="Y2" i="32" s="1"/>
  <c r="D42" i="30"/>
  <c r="D45" i="30" l="1"/>
  <c r="X38" i="29"/>
</calcChain>
</file>

<file path=xl/comments1.xml><?xml version="1.0" encoding="utf-8"?>
<comments xmlns="http://schemas.openxmlformats.org/spreadsheetml/2006/main">
  <authors>
    <author>Блажко М.В.</author>
  </authors>
  <commentList>
    <comment ref="A17" authorId="0">
      <text>
        <r>
          <rPr>
            <b/>
            <sz val="9"/>
            <color indexed="81"/>
            <rFont val="Tahoma"/>
            <family val="2"/>
            <charset val="204"/>
          </rPr>
          <t>Блажко М.В.:</t>
        </r>
        <r>
          <rPr>
            <sz val="9"/>
            <color indexed="81"/>
            <rFont val="Tahoma"/>
            <family val="2"/>
            <charset val="204"/>
          </rPr>
          <t xml:space="preserve">
№ приказа "Об утверждении производственной программы, установлении долгосрочных параметров регулирования и тарифов" </t>
        </r>
      </text>
    </comment>
    <comment ref="G17" authorId="0">
      <text>
        <r>
          <rPr>
            <b/>
            <sz val="9"/>
            <color indexed="81"/>
            <rFont val="Tahoma"/>
            <family val="2"/>
            <charset val="204"/>
          </rPr>
          <t>Блажко М.В.:</t>
        </r>
        <r>
          <rPr>
            <sz val="9"/>
            <color indexed="81"/>
            <rFont val="Tahoma"/>
            <family val="2"/>
            <charset val="204"/>
          </rPr>
          <t xml:space="preserve">
№ приказа "Об утверждении производственной программы, установлении долгосрочных параметров регулирования и тарифов" </t>
        </r>
      </text>
    </comment>
    <comment ref="A19" authorId="0">
      <text>
        <r>
          <rPr>
            <b/>
            <sz val="9"/>
            <color indexed="81"/>
            <rFont val="Tahoma"/>
            <family val="2"/>
            <charset val="204"/>
          </rPr>
          <t>Блажко М.В.:</t>
        </r>
        <r>
          <rPr>
            <sz val="9"/>
            <color indexed="81"/>
            <rFont val="Tahoma"/>
            <family val="2"/>
            <charset val="204"/>
          </rPr>
          <t xml:space="preserve">
№ приказа  "О внесении изменений в приказ Департамента тарифного регулирования Томской области «Об утверждении производственной программы, установлении долгосрочных параметров регулирования и тарифов" в части 2017 года</t>
        </r>
      </text>
    </comment>
  </commentList>
</comments>
</file>

<file path=xl/sharedStrings.xml><?xml version="1.0" encoding="utf-8"?>
<sst xmlns="http://schemas.openxmlformats.org/spreadsheetml/2006/main" count="5611" uniqueCount="2005">
  <si>
    <t>Регион РФ</t>
  </si>
  <si>
    <t>Томская область</t>
  </si>
  <si>
    <t xml:space="preserve">Муниципальный район </t>
  </si>
  <si>
    <t xml:space="preserve">Муниципальное образование </t>
  </si>
  <si>
    <t xml:space="preserve">ИНН </t>
  </si>
  <si>
    <t>Наименование  организации</t>
  </si>
  <si>
    <t>Наименование филиала</t>
  </si>
  <si>
    <t xml:space="preserve">КПП </t>
  </si>
  <si>
    <t>Вид деятельности</t>
  </si>
  <si>
    <t>Водоснабжение</t>
  </si>
  <si>
    <t>Вид  тарифа  в системе холодного водоснабжения</t>
  </si>
  <si>
    <t>Система налогообложения</t>
  </si>
  <si>
    <t>КОРРЕКТИРОВКА  ПРОИЗВОДСТВЕННОЙ  ПРОГРАММЫ И НЕОБХОДИМОЙ ВАЛОВОЙ ВЫРУЧКИ</t>
  </si>
  <si>
    <t>Районы</t>
  </si>
  <si>
    <t>Муниципальные образования</t>
  </si>
  <si>
    <t>Год</t>
  </si>
  <si>
    <t>Выбор</t>
  </si>
  <si>
    <t>Вид тарифа</t>
  </si>
  <si>
    <t>ИНН</t>
  </si>
  <si>
    <t>Наименование организации</t>
  </si>
  <si>
    <t>Александровский</t>
  </si>
  <si>
    <t>Александровское</t>
  </si>
  <si>
    <t>да</t>
  </si>
  <si>
    <t>питьевая вода</t>
  </si>
  <si>
    <t>Общая</t>
  </si>
  <si>
    <t>прибыль</t>
  </si>
  <si>
    <t>доходы</t>
  </si>
  <si>
    <t>Асиновский</t>
  </si>
  <si>
    <t>Анастасьевское</t>
  </si>
  <si>
    <t>нет</t>
  </si>
  <si>
    <t>питьевая вода (с дополнительной очисткой)</t>
  </si>
  <si>
    <t>Упрощенная</t>
  </si>
  <si>
    <t>доходы минус расходы</t>
  </si>
  <si>
    <t>Бакчарский</t>
  </si>
  <si>
    <t>Асиновское городское</t>
  </si>
  <si>
    <t>техническая вода</t>
  </si>
  <si>
    <t>Верхнекетский</t>
  </si>
  <si>
    <t>Базойское</t>
  </si>
  <si>
    <t>транспортировка воды</t>
  </si>
  <si>
    <t>г. Кедровый</t>
  </si>
  <si>
    <t>Бакчарское</t>
  </si>
  <si>
    <t>г. Северск</t>
  </si>
  <si>
    <t>Баткатское</t>
  </si>
  <si>
    <t>г. Стрежевой</t>
  </si>
  <si>
    <t>Батуринское</t>
  </si>
  <si>
    <t>г. Томск</t>
  </si>
  <si>
    <t>Белоярское</t>
  </si>
  <si>
    <t>Зырянский</t>
  </si>
  <si>
    <t>Белоярское городское</t>
  </si>
  <si>
    <t>Каргасокский</t>
  </si>
  <si>
    <t>Берегаевское</t>
  </si>
  <si>
    <t>Кожевниковский</t>
  </si>
  <si>
    <t>Богатыревское</t>
  </si>
  <si>
    <t>Колпашевский</t>
  </si>
  <si>
    <t>Богашевское</t>
  </si>
  <si>
    <t>муниципальное бюджетное учреждение здравоохранения "Асиновская центральная районная больница"</t>
  </si>
  <si>
    <t>Кривошеинский</t>
  </si>
  <si>
    <t>Большедороховское</t>
  </si>
  <si>
    <t>Молчановский</t>
  </si>
  <si>
    <t>Вавиловское</t>
  </si>
  <si>
    <t>Парабельский</t>
  </si>
  <si>
    <t>Вертикосское</t>
  </si>
  <si>
    <t>Первомайский</t>
  </si>
  <si>
    <t>Володинское</t>
  </si>
  <si>
    <t>Тегульдетский</t>
  </si>
  <si>
    <t>Воронинское</t>
  </si>
  <si>
    <t>Томский</t>
  </si>
  <si>
    <t>Высоковское</t>
  </si>
  <si>
    <t>Чаинский</t>
  </si>
  <si>
    <t>Высокоярское</t>
  </si>
  <si>
    <t>Шегарский</t>
  </si>
  <si>
    <t>Галкинское</t>
  </si>
  <si>
    <t>городской округ "ЗАТО Северск"</t>
  </si>
  <si>
    <t>городской округ "г. Стрежевой"</t>
  </si>
  <si>
    <t>городской округ "г. Томск"</t>
  </si>
  <si>
    <t>Колпашевское городское</t>
  </si>
  <si>
    <t>Дальненское</t>
  </si>
  <si>
    <t>Дубровское</t>
  </si>
  <si>
    <t>Заводское</t>
  </si>
  <si>
    <t>Заречное</t>
  </si>
  <si>
    <t>Зональненское</t>
  </si>
  <si>
    <t>Зоркальцевское</t>
  </si>
  <si>
    <t>Зырянское</t>
  </si>
  <si>
    <t>Инкинское</t>
  </si>
  <si>
    <t>Итатское</t>
  </si>
  <si>
    <t>Иштанское</t>
  </si>
  <si>
    <t>Калтайское</t>
  </si>
  <si>
    <t>Каргасокское</t>
  </si>
  <si>
    <t>Катайгинское</t>
  </si>
  <si>
    <t>Кидальское</t>
  </si>
  <si>
    <t>Клюквинское</t>
  </si>
  <si>
    <t>Кожевниковское</t>
  </si>
  <si>
    <t>Коломинское</t>
  </si>
  <si>
    <t>Комсомольское</t>
  </si>
  <si>
    <t>Копыловское</t>
  </si>
  <si>
    <t>Корниловское</t>
  </si>
  <si>
    <t>Красногорское</t>
  </si>
  <si>
    <t>Красноярское</t>
  </si>
  <si>
    <t>Кривошеинское</t>
  </si>
  <si>
    <t>Курлекское</t>
  </si>
  <si>
    <t>Куяновское</t>
  </si>
  <si>
    <t>Михайловское муниципальное унитарное предприятие "Родник"</t>
  </si>
  <si>
    <t>Лукашкин-Ярское</t>
  </si>
  <si>
    <t>Макзырское</t>
  </si>
  <si>
    <t>Малиновское</t>
  </si>
  <si>
    <t>Межениновское</t>
  </si>
  <si>
    <t>Мирнинское</t>
  </si>
  <si>
    <t>Михайловское</t>
  </si>
  <si>
    <t>Могочинское</t>
  </si>
  <si>
    <t>Молчановское</t>
  </si>
  <si>
    <t>Моряковское</t>
  </si>
  <si>
    <t>Назинское</t>
  </si>
  <si>
    <t>Наргинское</t>
  </si>
  <si>
    <t>Нарымское</t>
  </si>
  <si>
    <t>Наумовское</t>
  </si>
  <si>
    <t>Национальное Иванкинское</t>
  </si>
  <si>
    <t>Новиковское</t>
  </si>
  <si>
    <t>Нововасюганское</t>
  </si>
  <si>
    <t>Новогоренское</t>
  </si>
  <si>
    <t>Новокривошеинское</t>
  </si>
  <si>
    <t>Новокусковское</t>
  </si>
  <si>
    <t>Новомариинское</t>
  </si>
  <si>
    <t>Новониколаевское</t>
  </si>
  <si>
    <t>Новоникольское</t>
  </si>
  <si>
    <t>Новопокровское</t>
  </si>
  <si>
    <t>Новорождественское</t>
  </si>
  <si>
    <t>Новоселовское</t>
  </si>
  <si>
    <t>Новосельцевское</t>
  </si>
  <si>
    <t>Новоюгинское</t>
  </si>
  <si>
    <t>Октябрьское</t>
  </si>
  <si>
    <t>Орловское</t>
  </si>
  <si>
    <t>Палочкинское</t>
  </si>
  <si>
    <t>Парабельское</t>
  </si>
  <si>
    <t>Парбигское</t>
  </si>
  <si>
    <t>Первомайское</t>
  </si>
  <si>
    <t>Кожевниковское районное муниципальное унитарное предприятие "Коммунальное ремонтно-строительное хозяйство"</t>
  </si>
  <si>
    <t>Песочно-Дубровское</t>
  </si>
  <si>
    <t>Петровское</t>
  </si>
  <si>
    <t>Плотниковское</t>
  </si>
  <si>
    <t>Побединское</t>
  </si>
  <si>
    <t>Подгорнское</t>
  </si>
  <si>
    <t>Поротниковское</t>
  </si>
  <si>
    <t>Пудовское</t>
  </si>
  <si>
    <t>Рыбаловское</t>
  </si>
  <si>
    <t>Сайгинское</t>
  </si>
  <si>
    <t>Саровское</t>
  </si>
  <si>
    <t>Северное</t>
  </si>
  <si>
    <t>Сергеевское</t>
  </si>
  <si>
    <t>Сосновское</t>
  </si>
  <si>
    <t>Спасское</t>
  </si>
  <si>
    <t>Средневасюганское</t>
  </si>
  <si>
    <t>Среднетымское</t>
  </si>
  <si>
    <t>Старицынское</t>
  </si>
  <si>
    <t>Староювалинское</t>
  </si>
  <si>
    <t>Степановское</t>
  </si>
  <si>
    <t>Суйгинское</t>
  </si>
  <si>
    <t>Тевризское</t>
  </si>
  <si>
    <t>Тегульдетское</t>
  </si>
  <si>
    <t>Тогуровское</t>
  </si>
  <si>
    <t>Толпаровское</t>
  </si>
  <si>
    <t>Трубоческое</t>
  </si>
  <si>
    <t>Тунгуссовское</t>
  </si>
  <si>
    <t>Турунтаевское</t>
  </si>
  <si>
    <t>Тымское</t>
  </si>
  <si>
    <t>Улу-Юльское</t>
  </si>
  <si>
    <t>Уртамское</t>
  </si>
  <si>
    <t>Усть-Бакчарское</t>
  </si>
  <si>
    <t>Усть-Тымское</t>
  </si>
  <si>
    <t>Усть-Чижапское</t>
  </si>
  <si>
    <t>Чажемтовское</t>
  </si>
  <si>
    <t>Чаинское</t>
  </si>
  <si>
    <t>Черноярское</t>
  </si>
  <si>
    <t>Чернышевское</t>
  </si>
  <si>
    <t>Четское</t>
  </si>
  <si>
    <t>Чилинское</t>
  </si>
  <si>
    <t>Шегарское</t>
  </si>
  <si>
    <t>Ягоднинское</t>
  </si>
  <si>
    <t>Ягодное</t>
  </si>
  <si>
    <t>муниципальное унитарное предприятие Мирненского сельского поселения "ТВК"</t>
  </si>
  <si>
    <t>акционерное общество "ТомскРТС"</t>
  </si>
  <si>
    <t>Муниципальное унитарное предприятие Мирненского сельского поселения "ВК"</t>
  </si>
  <si>
    <t>период корректировки</t>
  </si>
  <si>
    <t>2017</t>
  </si>
  <si>
    <t>№ п/п</t>
  </si>
  <si>
    <t>Ед. изм.</t>
  </si>
  <si>
    <t>Доочищенная сточная вода для нужд технического водоснабжения</t>
  </si>
  <si>
    <t>Объем реализации воды</t>
  </si>
  <si>
    <t>Объем реализации воды питьевого качества по приборам учета</t>
  </si>
  <si>
    <t>всего</t>
  </si>
  <si>
    <t>холодное водоснабжение</t>
  </si>
  <si>
    <t>1.1</t>
  </si>
  <si>
    <t>1.2</t>
  </si>
  <si>
    <t>1.3</t>
  </si>
  <si>
    <t>2.1</t>
  </si>
  <si>
    <t>2.2</t>
  </si>
  <si>
    <t>2.3</t>
  </si>
  <si>
    <t>3.1</t>
  </si>
  <si>
    <t>3.2</t>
  </si>
  <si>
    <t>3.3</t>
  </si>
  <si>
    <t>Район</t>
  </si>
  <si>
    <t>МО</t>
  </si>
  <si>
    <t>1.4</t>
  </si>
  <si>
    <t>1.5</t>
  </si>
  <si>
    <t>2.4</t>
  </si>
  <si>
    <t>2.5</t>
  </si>
  <si>
    <t>2.6</t>
  </si>
  <si>
    <t>2.7</t>
  </si>
  <si>
    <t>3</t>
  </si>
  <si>
    <t>3.4</t>
  </si>
  <si>
    <t>3.5</t>
  </si>
  <si>
    <t>3.6</t>
  </si>
  <si>
    <t>3.7</t>
  </si>
  <si>
    <t>4</t>
  </si>
  <si>
    <t>4.1</t>
  </si>
  <si>
    <t>4.2</t>
  </si>
  <si>
    <t>4.3</t>
  </si>
  <si>
    <t>2015 год</t>
  </si>
  <si>
    <t>2017 год</t>
  </si>
  <si>
    <t>Наименование показателей</t>
  </si>
  <si>
    <t>Единица измерения</t>
  </si>
  <si>
    <t>ВСЕГО по тарифу</t>
  </si>
  <si>
    <t>факт</t>
  </si>
  <si>
    <t>1.</t>
  </si>
  <si>
    <t>Поднято воды насосными станциями 1 подъема, в том числе:</t>
  </si>
  <si>
    <t>1.1.</t>
  </si>
  <si>
    <t>Из поверхностных водоисточников</t>
  </si>
  <si>
    <t>1.2.</t>
  </si>
  <si>
    <t>Из подземных водоисточников</t>
  </si>
  <si>
    <t>2.</t>
  </si>
  <si>
    <t>Пропущено воды через водопроводные очистные сооружения</t>
  </si>
  <si>
    <t>3.</t>
  </si>
  <si>
    <t>Расход воды на хозяйственные и технологические нужды, в т.ч.</t>
  </si>
  <si>
    <t>3.1.</t>
  </si>
  <si>
    <t>3.2.</t>
  </si>
  <si>
    <t>3.3.</t>
  </si>
  <si>
    <t xml:space="preserve">                       на хозяйственно-бытовые нужды</t>
  </si>
  <si>
    <t>3.4.</t>
  </si>
  <si>
    <t xml:space="preserve">                       прочие</t>
  </si>
  <si>
    <t>4.</t>
  </si>
  <si>
    <t>Получено воды  со стороны</t>
  </si>
  <si>
    <t>в том числе на нужды ГВС</t>
  </si>
  <si>
    <t>5.</t>
  </si>
  <si>
    <t>Подано воды в водопроводную сеть</t>
  </si>
  <si>
    <t>6.</t>
  </si>
  <si>
    <t xml:space="preserve">Потери воды в водопроводных сетях    </t>
  </si>
  <si>
    <t xml:space="preserve"> то же в % к отпуску в сеть</t>
  </si>
  <si>
    <t>%</t>
  </si>
  <si>
    <t>7.</t>
  </si>
  <si>
    <t>Отпущено (реализовано) воды  всего, в том числе:</t>
  </si>
  <si>
    <t>7.1.</t>
  </si>
  <si>
    <t xml:space="preserve">           Расход воды на собственные нужды предприятия</t>
  </si>
  <si>
    <t>7.2.</t>
  </si>
  <si>
    <t xml:space="preserve">          Отпущено воды другим водопроводам</t>
  </si>
  <si>
    <t>7.3.</t>
  </si>
  <si>
    <t xml:space="preserve">          Отпущено товарной воды сторонним  потребителям, в том числе:</t>
  </si>
  <si>
    <t>7.3.1.</t>
  </si>
  <si>
    <t xml:space="preserve">                     бюджетные организации</t>
  </si>
  <si>
    <t xml:space="preserve"> - по приборам учета</t>
  </si>
  <si>
    <t xml:space="preserve"> - по нормативам</t>
  </si>
  <si>
    <t>7.3.2.</t>
  </si>
  <si>
    <t xml:space="preserve">                     население</t>
  </si>
  <si>
    <t>7.3.3.</t>
  </si>
  <si>
    <t xml:space="preserve">                     прочие</t>
  </si>
  <si>
    <t>В ТОМ ЧИСЛЕ</t>
  </si>
  <si>
    <t>8.</t>
  </si>
  <si>
    <t>Отпущено (реализовано) горячей воды  всего, в том числе:</t>
  </si>
  <si>
    <t>тыс.куб.м</t>
  </si>
  <si>
    <t>8.1.</t>
  </si>
  <si>
    <t>8.2.</t>
  </si>
  <si>
    <t>8.3.</t>
  </si>
  <si>
    <t>8.3.1.</t>
  </si>
  <si>
    <t>8.3.2.</t>
  </si>
  <si>
    <t>8.3.3.</t>
  </si>
  <si>
    <t>9.</t>
  </si>
  <si>
    <t xml:space="preserve">Объем потребленной электроэнергии </t>
  </si>
  <si>
    <t>кВт.ч.</t>
  </si>
  <si>
    <t>9.1.</t>
  </si>
  <si>
    <t>Удельный расход электроэнергии на реализованную воду</t>
  </si>
  <si>
    <t>кВт*ч/куб.м</t>
  </si>
  <si>
    <t>10.</t>
  </si>
  <si>
    <t>Удельное потребление воды населением</t>
  </si>
  <si>
    <t>куб.м/час</t>
  </si>
  <si>
    <t>11.</t>
  </si>
  <si>
    <t>Объем отпущенной воды на 1 человека</t>
  </si>
  <si>
    <t>куб.м/чел в мес.</t>
  </si>
  <si>
    <t>12.</t>
  </si>
  <si>
    <t>Присоединенная мощность потребителей товаров (услуг) по холодному водоснабжению</t>
  </si>
  <si>
    <t>13.</t>
  </si>
  <si>
    <t>Численность населения, получающего услуги организации</t>
  </si>
  <si>
    <t>чел</t>
  </si>
  <si>
    <t>предложение организации по корректировке</t>
  </si>
  <si>
    <t>Краткие сведения об организации</t>
  </si>
  <si>
    <t>Наименование организации:</t>
  </si>
  <si>
    <t>Юридический адрес:</t>
  </si>
  <si>
    <t>Тел/факс:</t>
  </si>
  <si>
    <t>E-mail:</t>
  </si>
  <si>
    <t>Должность руководителя</t>
  </si>
  <si>
    <t>Ф.И.О. (полностью)</t>
  </si>
  <si>
    <t>Налогообложение</t>
  </si>
  <si>
    <t>система налогообложения</t>
  </si>
  <si>
    <t>объект налогообложения</t>
  </si>
  <si>
    <t>налоговая ставка</t>
  </si>
  <si>
    <t>№ приказа ДТР ТО</t>
  </si>
  <si>
    <t>дата приказа</t>
  </si>
  <si>
    <t>срок действия тарифа</t>
  </si>
  <si>
    <t>величина тарифа, руб/куб.м.</t>
  </si>
  <si>
    <t>НДС</t>
  </si>
  <si>
    <t>Анкета организации и системы водоснабжения</t>
  </si>
  <si>
    <t>Показатель</t>
  </si>
  <si>
    <t>Значение</t>
  </si>
  <si>
    <t>-</t>
  </si>
  <si>
    <t>2</t>
  </si>
  <si>
    <t>Изменялся ли объем предоставления услуг водоснабжения вследствие выбытия/приема на баланс объектов коммунального комплекса</t>
  </si>
  <si>
    <t>Общая мощность объектов водоснабжения</t>
  </si>
  <si>
    <t>куб.м./час</t>
  </si>
  <si>
    <t>Общая протяженность сетей водоснабжения</t>
  </si>
  <si>
    <t>км</t>
  </si>
  <si>
    <t>6</t>
  </si>
  <si>
    <t>Процент износа ОС (по БУ на начало года)</t>
  </si>
  <si>
    <t xml:space="preserve">             -водозаборов</t>
  </si>
  <si>
    <t xml:space="preserve">             -системы очистки воды </t>
  </si>
  <si>
    <t xml:space="preserve">             -сетей</t>
  </si>
  <si>
    <t>Количество выбывших/принятых на баланс объектов за 3 прошедших года («-» выбыли, «+» приняты)</t>
  </si>
  <si>
    <t>ед.</t>
  </si>
  <si>
    <t>5</t>
  </si>
  <si>
    <t>Мощность выбывших/принятых на баланс объектов за прошедшие 3 года  («-» выбыли, «+» приняты)</t>
  </si>
  <si>
    <t>куб.м./ч</t>
  </si>
  <si>
    <t>Количество переданных сетей за 3 прошедших года  («-» выбыли, «+» приняты)</t>
  </si>
  <si>
    <t>7</t>
  </si>
  <si>
    <t>Объекты без оформленных документов (кадастр, договор аренды и т.д.)</t>
  </si>
  <si>
    <t>8</t>
  </si>
  <si>
    <t xml:space="preserve"> Нормативный срок службы оборудования, в том числе:</t>
  </si>
  <si>
    <t>8.1</t>
  </si>
  <si>
    <t xml:space="preserve">             -оборудование водозаборов</t>
  </si>
  <si>
    <t>лет</t>
  </si>
  <si>
    <t>8.2</t>
  </si>
  <si>
    <t xml:space="preserve">             -оборудование системы очистки воды </t>
  </si>
  <si>
    <t xml:space="preserve">             -оборудование системы транспортирования воды</t>
  </si>
  <si>
    <t>9</t>
  </si>
  <si>
    <t>Фактический срок службы оборудования, в том числе:</t>
  </si>
  <si>
    <t>9.1</t>
  </si>
  <si>
    <t>9.2</t>
  </si>
  <si>
    <t>10</t>
  </si>
  <si>
    <t>Износ систем коммунальной инфраструктуры, в том числе:</t>
  </si>
  <si>
    <t>10.1</t>
  </si>
  <si>
    <t>10.2</t>
  </si>
  <si>
    <t>10.3</t>
  </si>
  <si>
    <t>11</t>
  </si>
  <si>
    <t>Наличие  утвержденной схемы водоснабжения</t>
  </si>
  <si>
    <t>11.1</t>
  </si>
  <si>
    <t>Реквизиты документа об утверждении (наименование утвердившего органа, № и дата)</t>
  </si>
  <si>
    <t>12</t>
  </si>
  <si>
    <t>Статус гарантирующей организации</t>
  </si>
  <si>
    <t>12.1</t>
  </si>
  <si>
    <t>13</t>
  </si>
  <si>
    <t>Наличие утвержденной инвестиционной программы</t>
  </si>
  <si>
    <t>13.1</t>
  </si>
  <si>
    <t>14</t>
  </si>
  <si>
    <t>Наличие у организации концессионных соглашений</t>
  </si>
  <si>
    <t>14.1</t>
  </si>
  <si>
    <t>Описание (кратко)</t>
  </si>
  <si>
    <t>Сведения об установленных тарифах</t>
  </si>
  <si>
    <t>Наименование и адрес объектов</t>
  </si>
  <si>
    <t>Марка оборудования (насоса)</t>
  </si>
  <si>
    <t>Производительность оборудования (насоса), куб.м./час</t>
  </si>
  <si>
    <t>Продолжительность работы в году, час</t>
  </si>
  <si>
    <t>Мощность оборудования (насоса), кВт</t>
  </si>
  <si>
    <t>Отопление (обогрев) объектов</t>
  </si>
  <si>
    <t>ТЭН</t>
  </si>
  <si>
    <t>количество, шт</t>
  </si>
  <si>
    <t>Суммарная мощность, кВт</t>
  </si>
  <si>
    <t xml:space="preserve">Наименование организации-поставщика тепловой энергии </t>
  </si>
  <si>
    <t>Насосные станции 2-ого подъема</t>
  </si>
  <si>
    <t>Насосные станции 3-ого подъема</t>
  </si>
  <si>
    <t>Водоразборные колонки (шт.)</t>
  </si>
  <si>
    <t>СЕТИ</t>
  </si>
  <si>
    <t>факт по данным организации</t>
  </si>
  <si>
    <t>Протяженность водопроводных сетей всего, м</t>
  </si>
  <si>
    <t>в том числе диаметром</t>
  </si>
  <si>
    <t>Протяженность водопроводных сетей, нуждающихся в замене всего, м</t>
  </si>
  <si>
    <t>Удельный вес сетей, нуждающихся в замене, %</t>
  </si>
  <si>
    <t>2016</t>
  </si>
  <si>
    <t>план организации</t>
  </si>
  <si>
    <t xml:space="preserve">Сети </t>
  </si>
  <si>
    <t>Наличие бесхозных объектов и сетей (кадастр)</t>
  </si>
  <si>
    <t>Сети</t>
  </si>
  <si>
    <t>Объекты</t>
  </si>
  <si>
    <t>1</t>
  </si>
  <si>
    <t>11.2</t>
  </si>
  <si>
    <t>11.3</t>
  </si>
  <si>
    <t>12.2</t>
  </si>
  <si>
    <t>12.3</t>
  </si>
  <si>
    <t>15</t>
  </si>
  <si>
    <t>15.1</t>
  </si>
  <si>
    <t>16</t>
  </si>
  <si>
    <t>16.1</t>
  </si>
  <si>
    <t>предложение организации</t>
  </si>
  <si>
    <t>Единицы измерения</t>
  </si>
  <si>
    <t>01.01-30.06</t>
  </si>
  <si>
    <t>01.07-31.12</t>
  </si>
  <si>
    <t xml:space="preserve">                        на очистные сооружения</t>
  </si>
  <si>
    <t xml:space="preserve">                       на промывку </t>
  </si>
  <si>
    <t>3.5.</t>
  </si>
  <si>
    <t xml:space="preserve"> вода на хозяйственные и технологические нужды в % к поднятой воде</t>
  </si>
  <si>
    <t xml:space="preserve">     своими насосами</t>
  </si>
  <si>
    <t>в том числе потери горячей воды</t>
  </si>
  <si>
    <t>6.1.</t>
  </si>
  <si>
    <t xml:space="preserve">                в том числе расход воды на промывку систем водоснабжения (водопроводных сетей)</t>
  </si>
  <si>
    <t>Объем реализации воды питьевого качества по нормативу</t>
  </si>
  <si>
    <t>14.</t>
  </si>
  <si>
    <t>Справочно:</t>
  </si>
  <si>
    <t>15.</t>
  </si>
  <si>
    <t>Наименование направления расхода электрической энергии</t>
  </si>
  <si>
    <t>Ед.изм</t>
  </si>
  <si>
    <t>в том числе по уровням напряжения</t>
  </si>
  <si>
    <t>ВН</t>
  </si>
  <si>
    <t>СН1</t>
  </si>
  <si>
    <t>СН2</t>
  </si>
  <si>
    <t>НН</t>
  </si>
  <si>
    <t>ВСЕГО стоимость покупной электроэнергии и мощности</t>
  </si>
  <si>
    <t>руб</t>
  </si>
  <si>
    <t>I.</t>
  </si>
  <si>
    <t>Покупная электроэнергия по одноставочному тарифу</t>
  </si>
  <si>
    <t>Тариф на электроэнергию</t>
  </si>
  <si>
    <t>руб./кВт.ч</t>
  </si>
  <si>
    <t>Объем электроэнергии всего</t>
  </si>
  <si>
    <t>кВт.ч</t>
  </si>
  <si>
    <t>в том числе:</t>
  </si>
  <si>
    <t>2.1.</t>
  </si>
  <si>
    <t>Подъем воды</t>
  </si>
  <si>
    <t xml:space="preserve"> кВт.ч</t>
  </si>
  <si>
    <t>2.2.</t>
  </si>
  <si>
    <t>Очистка воды</t>
  </si>
  <si>
    <t>2.3.</t>
  </si>
  <si>
    <t>Транспортировка воды</t>
  </si>
  <si>
    <t>II.</t>
  </si>
  <si>
    <t>Покупная электроэнергия по двухставочному тарифу</t>
  </si>
  <si>
    <t>Мощность</t>
  </si>
  <si>
    <t>Тариф на мощность</t>
  </si>
  <si>
    <t>руб/кВт</t>
  </si>
  <si>
    <t>Объем мощности всего</t>
  </si>
  <si>
    <t>кВт</t>
  </si>
  <si>
    <t xml:space="preserve">кВт </t>
  </si>
  <si>
    <t>1.2.1</t>
  </si>
  <si>
    <t>1.2.2</t>
  </si>
  <si>
    <t>1.2.3</t>
  </si>
  <si>
    <t>Активная электроэнергия</t>
  </si>
  <si>
    <t>руб/кВт.ч</t>
  </si>
  <si>
    <t>2.2.1</t>
  </si>
  <si>
    <t>2.2.2</t>
  </si>
  <si>
    <t>2.2.3</t>
  </si>
  <si>
    <t>расход электроэнергии на подготовку воды</t>
  </si>
  <si>
    <t>расход электроэнергии на транспортировку воды</t>
  </si>
  <si>
    <t>Расчет объема электроэнергии</t>
  </si>
  <si>
    <t>Удельный расход электроэнергии, потребляемой в технологическом процессе для подготовки воды на единицу объема воды, отпускаемой в сеть</t>
  </si>
  <si>
    <t>Удельный расход электроэнергии, потребляемой в технологическом процессе транспортировки воды на единицу объема транспортируемой воды</t>
  </si>
  <si>
    <t>Объем воды, отпускаемой в сеть</t>
  </si>
  <si>
    <t>куб.м.</t>
  </si>
  <si>
    <t>кВт.ч / куб.м</t>
  </si>
  <si>
    <t>Примечание</t>
  </si>
  <si>
    <t>Расход электроэнергии на подготовку воды</t>
  </si>
  <si>
    <t>Расход электроэнергии на транспортировку воды</t>
  </si>
  <si>
    <t>кВтч</t>
  </si>
  <si>
    <t>ВСЕГО расход электроэнергии</t>
  </si>
  <si>
    <t>тариф на электроэнергию, используемую для подготовки воды</t>
  </si>
  <si>
    <t>тариф на электроэнергию, используемую для транспортировки воды</t>
  </si>
  <si>
    <t>№  п/п</t>
  </si>
  <si>
    <t>Наименование показателя</t>
  </si>
  <si>
    <t>по данным организации</t>
  </si>
  <si>
    <t>по данным ДТР ТО</t>
  </si>
  <si>
    <t xml:space="preserve">  1.</t>
  </si>
  <si>
    <t>Основные материалы</t>
  </si>
  <si>
    <t xml:space="preserve">  2.</t>
  </si>
  <si>
    <t>Вспомогательные материалы, включая химреагенты</t>
  </si>
  <si>
    <t xml:space="preserve">  3.</t>
  </si>
  <si>
    <t>Вода на технологические нужды</t>
  </si>
  <si>
    <t xml:space="preserve">  4.</t>
  </si>
  <si>
    <t>Работы и услуги производственного характера (ремонтные и регламентные работы, транспортные расходы и другие работы и услуги)</t>
  </si>
  <si>
    <t xml:space="preserve">  5.</t>
  </si>
  <si>
    <t>Топливо на технологические цели, в т.ч.:</t>
  </si>
  <si>
    <t>х</t>
  </si>
  <si>
    <t>5.1.1.</t>
  </si>
  <si>
    <t>уголь</t>
  </si>
  <si>
    <t>5.1.2.</t>
  </si>
  <si>
    <t>газ природный (включая попутный)</t>
  </si>
  <si>
    <t>5.1.3.</t>
  </si>
  <si>
    <t>мазут</t>
  </si>
  <si>
    <t>5.1.4.</t>
  </si>
  <si>
    <t>нефть</t>
  </si>
  <si>
    <t>5.1.5.</t>
  </si>
  <si>
    <t>дизельное топливо</t>
  </si>
  <si>
    <t>5.1.6.</t>
  </si>
  <si>
    <t>дрова</t>
  </si>
  <si>
    <t>5.2.1.</t>
  </si>
  <si>
    <t>стоимость  ж/д перевозок (индексация с января)</t>
  </si>
  <si>
    <t>5.2.2.</t>
  </si>
  <si>
    <t>грузовой транспорт</t>
  </si>
  <si>
    <t xml:space="preserve">  6.</t>
  </si>
  <si>
    <t>Энергия на технологические цели,  в т.ч.:</t>
  </si>
  <si>
    <t>электроэнергия</t>
  </si>
  <si>
    <t>6.2.</t>
  </si>
  <si>
    <t>теплоэнергия</t>
  </si>
  <si>
    <t xml:space="preserve">  7.</t>
  </si>
  <si>
    <t>Затраты на оплату труда</t>
  </si>
  <si>
    <t xml:space="preserve">  8.</t>
  </si>
  <si>
    <t>Амортизация основных фондов</t>
  </si>
  <si>
    <t xml:space="preserve">  9.</t>
  </si>
  <si>
    <t>Налоги и сборы</t>
  </si>
  <si>
    <t>Арендная плата</t>
  </si>
  <si>
    <t>Прочие затраты</t>
  </si>
  <si>
    <t>в том числе</t>
  </si>
  <si>
    <t>12.1.</t>
  </si>
  <si>
    <t>Прибыль на социальное развитие</t>
  </si>
  <si>
    <t>12.2.</t>
  </si>
  <si>
    <t>Прибыль на прочие цели</t>
  </si>
  <si>
    <t>Индекс потребительских цен</t>
  </si>
  <si>
    <t>5.1</t>
  </si>
  <si>
    <t>5.2</t>
  </si>
  <si>
    <t>Расчет фактических тарифов на электроэнергию</t>
  </si>
  <si>
    <t>Стоимость электроэнергии</t>
  </si>
  <si>
    <t>Итого</t>
  </si>
  <si>
    <t>V. Плановые значения показателей надежности, качества и энергетической эффективности объектов централизованных систем водоснабжения</t>
  </si>
  <si>
    <t>ед. изм.</t>
  </si>
  <si>
    <t>Значение по периодам</t>
  </si>
  <si>
    <t>Показатели качества воды</t>
  </si>
  <si>
    <t>Доля проб питьевой воды, подаваемой с водопроводных станций в распределительную водопроводную сеть, не соответствующих установленным требованиям, в общем объеме проб, отобранных по результатам производственного контроля качества питьевой воды</t>
  </si>
  <si>
    <t>Доля проб питьевой воды в распределительной водопроводной сети, не соответствующих установленным требованиям, в общем объеме проб, отобранных по результатам производственного контроля качества питьевой воды</t>
  </si>
  <si>
    <t>Показатели надежности и бесперебойности водоснабжения</t>
  </si>
  <si>
    <t>Количество зафиксированных перерывов в подаче холодной воды, возникших в результате аварий, повреждений и иных технологических нарушений</t>
  </si>
  <si>
    <t>ед в год/ км</t>
  </si>
  <si>
    <t>Показатели энергетической эффективности использования ресурсов</t>
  </si>
  <si>
    <t>Доля потерь воды в централизованных системах водоснабжения при транспортировке в общем объеме воды, поданной в водопроводную сеть</t>
  </si>
  <si>
    <t>проверить по приказу!!!</t>
  </si>
  <si>
    <t>№</t>
  </si>
  <si>
    <t>Наименование отапливаемого объекта</t>
  </si>
  <si>
    <t>Поставщик тепла</t>
  </si>
  <si>
    <t>Кол-во, объем Гкал.</t>
  </si>
  <si>
    <t>Тариф, руб./Гкал</t>
  </si>
  <si>
    <t>Сумма, 
 руб.</t>
  </si>
  <si>
    <t>строки вставлять здесь</t>
  </si>
  <si>
    <t>ip</t>
  </si>
  <si>
    <t>Наименование</t>
  </si>
  <si>
    <t>руб.</t>
  </si>
  <si>
    <r>
      <t>м</t>
    </r>
    <r>
      <rPr>
        <b/>
        <vertAlign val="superscript"/>
        <sz val="12"/>
        <rFont val="Times New Roman"/>
        <family val="1"/>
        <charset val="204"/>
      </rPr>
      <t>3</t>
    </r>
  </si>
  <si>
    <r>
      <t>руб./м</t>
    </r>
    <r>
      <rPr>
        <b/>
        <vertAlign val="superscript"/>
        <sz val="12"/>
        <rFont val="Times New Roman"/>
        <family val="1"/>
        <charset val="204"/>
      </rPr>
      <t>3</t>
    </r>
  </si>
  <si>
    <t>предложение ДТР ТО по корректировке</t>
  </si>
  <si>
    <t>Вид воды</t>
  </si>
  <si>
    <t>питьевая</t>
  </si>
  <si>
    <t>техническая</t>
  </si>
  <si>
    <r>
      <t>м</t>
    </r>
    <r>
      <rPr>
        <vertAlign val="superscript"/>
        <sz val="12"/>
        <rFont val="Times New Roman"/>
        <family val="1"/>
        <charset val="204"/>
      </rPr>
      <t>3</t>
    </r>
  </si>
  <si>
    <t>Расчет затрат по услугам, оказываемым сторонними организациями, стоимость которых регулируется</t>
  </si>
  <si>
    <t xml:space="preserve">Услуги по подъему воды, оказываемые сторонними организациями </t>
  </si>
  <si>
    <t>объем воды</t>
  </si>
  <si>
    <r>
      <t>тыс.м</t>
    </r>
    <r>
      <rPr>
        <vertAlign val="superscript"/>
        <sz val="12"/>
        <rFont val="Times New Roman"/>
        <family val="1"/>
        <charset val="204"/>
      </rPr>
      <t>3</t>
    </r>
  </si>
  <si>
    <t>стоимость услуги</t>
  </si>
  <si>
    <r>
      <t>руб./м</t>
    </r>
    <r>
      <rPr>
        <vertAlign val="superscript"/>
        <sz val="12"/>
        <rFont val="Times New Roman"/>
        <family val="1"/>
        <charset val="204"/>
      </rPr>
      <t>3</t>
    </r>
  </si>
  <si>
    <t xml:space="preserve">Услуги по очистке воды, оказываемые сторонними организациями </t>
  </si>
  <si>
    <t>Услуги по транспортированию  воды, оказываемые сторонними организациями , в том числе:</t>
  </si>
  <si>
    <t xml:space="preserve">Услуги по транспортированию неочищенной воды, оказываемые сторонними организациями </t>
  </si>
  <si>
    <t xml:space="preserve">Услуги по транспортированию  очищенной воды, оказываемые сторонними организациями </t>
  </si>
  <si>
    <t>Услуги, оказываемые сторонними организациями, стоимость которых регулируется - всего</t>
  </si>
  <si>
    <t>предложение ДТР по корректировке</t>
  </si>
  <si>
    <t>Наименование организации, оказывающей услугу</t>
  </si>
  <si>
    <t>руб./м3</t>
  </si>
  <si>
    <t xml:space="preserve">Объем </t>
  </si>
  <si>
    <t>тариф</t>
  </si>
  <si>
    <t>Затраты на водоотведение</t>
  </si>
  <si>
    <t>объем стоков</t>
  </si>
  <si>
    <t>3.1.2.</t>
  </si>
  <si>
    <r>
      <t xml:space="preserve">Затраты на  </t>
    </r>
    <r>
      <rPr>
        <i/>
        <sz val="12"/>
        <color rgb="FFFF0000"/>
        <rFont val="Times New Roman"/>
        <family val="1"/>
        <charset val="204"/>
      </rPr>
      <t>наименование ресурса</t>
    </r>
  </si>
  <si>
    <t>ВСЕГО</t>
  </si>
  <si>
    <t>Расчет затрат на приобретение прочих энергоресурсов</t>
  </si>
  <si>
    <t>подземные источники</t>
  </si>
  <si>
    <t>3.3.2.</t>
  </si>
  <si>
    <t>Ед.изм.</t>
  </si>
  <si>
    <t>поверхностные источники</t>
  </si>
  <si>
    <t>Реквизиты земельного участка</t>
  </si>
  <si>
    <t>№ договора</t>
  </si>
  <si>
    <t>площадь, кв.м.</t>
  </si>
  <si>
    <t>ставка за 1 кв.м.</t>
  </si>
  <si>
    <t>Сумма, 
руб</t>
  </si>
  <si>
    <t>Сумма, руб</t>
  </si>
  <si>
    <t>ИТОГО</t>
  </si>
  <si>
    <t>1. Аренда земли</t>
  </si>
  <si>
    <t>2. Налог на землю</t>
  </si>
  <si>
    <t>Расчет затрат на земельный налог и аренду земельных участков</t>
  </si>
  <si>
    <t>Кадастровая стоимость, руб</t>
  </si>
  <si>
    <t>ВСЕГО платежей за землю</t>
  </si>
  <si>
    <t>рублей</t>
  </si>
  <si>
    <t>Объекты основных средств по подразделениям</t>
  </si>
  <si>
    <t>Первоначальная (восстановитель ная) стоимость</t>
  </si>
  <si>
    <t>Дата ввода в эксплуатацию</t>
  </si>
  <si>
    <t>Срок полезного использования, мес.</t>
  </si>
  <si>
    <t>Сумма амортизации в месяц</t>
  </si>
  <si>
    <t>Сумма амортизации за год</t>
  </si>
  <si>
    <t>Остаточная стоимость на начало периода</t>
  </si>
  <si>
    <t>Остаточная стоимость на конец периода</t>
  </si>
  <si>
    <t>Среднегодовая стоимость</t>
  </si>
  <si>
    <t>Налог на имущество</t>
  </si>
  <si>
    <t>Ставка налога на имущество, %</t>
  </si>
  <si>
    <t>№ договора аренды оборудования</t>
  </si>
  <si>
    <t>Вид договора (договор лизинга, коцессионное соглашение, другой вид договра(расшифровать))</t>
  </si>
  <si>
    <t>Наименование организации - арендодателя</t>
  </si>
  <si>
    <t>Первоначальная (восстановительная) стоимость</t>
  </si>
  <si>
    <t>Остаточная стоимость на момент передачи по договору</t>
  </si>
  <si>
    <t>Сумма арендной платы за год</t>
  </si>
  <si>
    <t>Дата передачи по договору</t>
  </si>
  <si>
    <t>Степень износа на момент передачи оборудования, %</t>
  </si>
  <si>
    <t>Сумма амортизации в мес</t>
  </si>
  <si>
    <t>Итого экономически обоснованный размер арендной платы</t>
  </si>
  <si>
    <t>Расчет нормативной прибыли</t>
  </si>
  <si>
    <t>I</t>
  </si>
  <si>
    <t>Операционные расходы</t>
  </si>
  <si>
    <t>Базовый уровень операционных расходов</t>
  </si>
  <si>
    <t>Производственные расходы:</t>
  </si>
  <si>
    <t>1.1.1</t>
  </si>
  <si>
    <t>расходы на приобретение сырья и материалов и их хранение</t>
  </si>
  <si>
    <t>1.1.2</t>
  </si>
  <si>
    <t>расходы на оплату регулируемыми организациями выполняемых сторонними организациями работ и (или) услуг</t>
  </si>
  <si>
    <t>1.1.3</t>
  </si>
  <si>
    <t>расходы на оплату труда и отчисления на социальные нужды основного производственного персонала,
в том числе:</t>
  </si>
  <si>
    <t>1.1.3.1</t>
  </si>
  <si>
    <t>налоги и сборы с фонда оплаты труда</t>
  </si>
  <si>
    <t>1.1.4</t>
  </si>
  <si>
    <t>расходы на уплату процентов по займам и кредитам</t>
  </si>
  <si>
    <t>1.1.5</t>
  </si>
  <si>
    <t>прочие производственные расходы:</t>
  </si>
  <si>
    <t>1.1.5.1</t>
  </si>
  <si>
    <t>расходы на эксплуатацию, техническое обслуживание и ремонт автотранспорта</t>
  </si>
  <si>
    <t>1.1.5.2</t>
  </si>
  <si>
    <t>контроль качества воды и сточных вод</t>
  </si>
  <si>
    <t>1.1.5.3</t>
  </si>
  <si>
    <t>Прочие расходы</t>
  </si>
  <si>
    <t>Ремонтные расходы</t>
  </si>
  <si>
    <t>1.3.</t>
  </si>
  <si>
    <t>Административные расходы</t>
  </si>
  <si>
    <t>1.4.</t>
  </si>
  <si>
    <t>Сбытовые расходы гарантирующей организации</t>
  </si>
  <si>
    <t>индекс эффективности расходов</t>
  </si>
  <si>
    <t>индекс потребительских цен</t>
  </si>
  <si>
    <t>индекс количества активов</t>
  </si>
  <si>
    <t>утв. ДТР ТО</t>
  </si>
  <si>
    <t>Расчет тарифов методом индексации</t>
  </si>
  <si>
    <t>№
п/п</t>
  </si>
  <si>
    <t>Расходы на электрическую энергию</t>
  </si>
  <si>
    <t>Неподконтрольные расходы</t>
  </si>
  <si>
    <t>Амортизация</t>
  </si>
  <si>
    <t>Нормативная прибыль</t>
  </si>
  <si>
    <t>Расчетная предпринимательская прибыль</t>
  </si>
  <si>
    <t>Итого НВВ для расчета тарифов</t>
  </si>
  <si>
    <t>II</t>
  </si>
  <si>
    <t>III</t>
  </si>
  <si>
    <t>Расходы на оплату товаров (услуг, работ), приобретаемых у других организаций</t>
  </si>
  <si>
    <t>Расходы на тепловую энергию</t>
  </si>
  <si>
    <t>Расходы на покупку воды</t>
  </si>
  <si>
    <t>5.3</t>
  </si>
  <si>
    <t>Услуги по холодному водоснабжению</t>
  </si>
  <si>
    <t>5.4</t>
  </si>
  <si>
    <t>Услуги по транспортировке холодной воды</t>
  </si>
  <si>
    <t>5.5</t>
  </si>
  <si>
    <t>Расходы на прочие энергоресурсы</t>
  </si>
  <si>
    <t>Налог на прибыль (единый налог, уплачиваемый при УСН)</t>
  </si>
  <si>
    <t>Налог на имущество организаций</t>
  </si>
  <si>
    <t>Земельный налог и арендная плата за землю</t>
  </si>
  <si>
    <t>Водный налог (плата за пользование водным объктом)</t>
  </si>
  <si>
    <t>Транспортный налог</t>
  </si>
  <si>
    <t>Плата за негативное воздействие на окружающую среду</t>
  </si>
  <si>
    <t>Прочие налоги и сборы</t>
  </si>
  <si>
    <t>Арендная и концессионная плата, лизинговые платежи</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</si>
  <si>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</si>
  <si>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</si>
  <si>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</si>
  <si>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</si>
  <si>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Займы и кредиты (для метода индексации)</t>
  </si>
  <si>
    <t>IV</t>
  </si>
  <si>
    <t>V</t>
  </si>
  <si>
    <t>расходы на капитальные вложения (инвестиции)</t>
  </si>
  <si>
    <t>денежные выплаты социального характера (по коллективному договору)</t>
  </si>
  <si>
    <t>прочие расходы</t>
  </si>
  <si>
    <t>норматив прибыли, %</t>
  </si>
  <si>
    <t>VI</t>
  </si>
  <si>
    <t>VII</t>
  </si>
  <si>
    <t>Вличина сглаживания НВВ</t>
  </si>
  <si>
    <t>Объем реализации, куб.м.</t>
  </si>
  <si>
    <t>VIII</t>
  </si>
  <si>
    <t>Тариф, руб/куб.м.</t>
  </si>
  <si>
    <t>Темп роста</t>
  </si>
  <si>
    <t>расчет УСН/налога на прибыль</t>
  </si>
  <si>
    <t>полная себестоимость реализуемых товаров (услуг)</t>
  </si>
  <si>
    <t>объем сторонних потребителей</t>
  </si>
  <si>
    <t>полная себестоимость реализуемых товаров (услуг) на сторонних потребителей</t>
  </si>
  <si>
    <t>минимальный размер товарной продукции</t>
  </si>
  <si>
    <t>прибыль до налогообложения (УСН)</t>
  </si>
  <si>
    <t>прибыль до налогообложения (ОСН)</t>
  </si>
  <si>
    <t>налог  (УСН)</t>
  </si>
  <si>
    <t>налог (ОСН)</t>
  </si>
  <si>
    <t>Затраты на воду на хознужды</t>
  </si>
  <si>
    <t>Услуги по холодному водоснабжению (подъем, очистка)</t>
  </si>
  <si>
    <t>Статьи расходов</t>
  </si>
  <si>
    <t>ПРОИЗВОДСТВЕННЫЕ РАСХОДЫ</t>
  </si>
  <si>
    <t>реагенты</t>
  </si>
  <si>
    <t>горюче-смазочные материалы</t>
  </si>
  <si>
    <t>материалы и малоценные основные средства, в т.ч.</t>
  </si>
  <si>
    <t>1.4.1.</t>
  </si>
  <si>
    <t>материалы на техническое обслуживание</t>
  </si>
  <si>
    <t>1.4.2.</t>
  </si>
  <si>
    <t>специальная одежда</t>
  </si>
  <si>
    <t>1.4.3.</t>
  </si>
  <si>
    <t>хозяйственный инвентарь и другие  вспомогательные материалы</t>
  </si>
  <si>
    <t>2.1.1.</t>
  </si>
  <si>
    <t>2.1.2.</t>
  </si>
  <si>
    <t>2.4.</t>
  </si>
  <si>
    <t>2.5.</t>
  </si>
  <si>
    <t>2.6.</t>
  </si>
  <si>
    <t>Расходы на покупку холодной воды, в том числе:</t>
  </si>
  <si>
    <t>2.6.1.</t>
  </si>
  <si>
    <t>2.6.2.</t>
  </si>
  <si>
    <t>2.6.3.</t>
  </si>
  <si>
    <t>2.6.4.</t>
  </si>
  <si>
    <t>3.3.1.</t>
  </si>
  <si>
    <t>Расходы на оплату труда и отчисления на социальные нужды</t>
  </si>
  <si>
    <t>4.1.</t>
  </si>
  <si>
    <t>4.2.</t>
  </si>
  <si>
    <t>4.2.1.</t>
  </si>
  <si>
    <t>4.3.</t>
  </si>
  <si>
    <t>Отчисления на социальные нужды от расходов на оплату труда</t>
  </si>
  <si>
    <t>4.3.1.</t>
  </si>
  <si>
    <t xml:space="preserve"> % расходов на уплату страховых взносов в ПФ, ФСС, ОМС</t>
  </si>
  <si>
    <t>4.3.2.</t>
  </si>
  <si>
    <t>% платежей в фонд социального страхования от несчастных случаев</t>
  </si>
  <si>
    <t>Прочие производственные расходы</t>
  </si>
  <si>
    <t>5.1.</t>
  </si>
  <si>
    <t>5.2.</t>
  </si>
  <si>
    <t>моющие средства</t>
  </si>
  <si>
    <t>специальное питание</t>
  </si>
  <si>
    <t>5.2.3.</t>
  </si>
  <si>
    <t>5.2.4.</t>
  </si>
  <si>
    <t>аттестация</t>
  </si>
  <si>
    <t>5.2.5.</t>
  </si>
  <si>
    <t>медицинский осмотр</t>
  </si>
  <si>
    <t>5.3.</t>
  </si>
  <si>
    <t>5.4.</t>
  </si>
  <si>
    <t>5.5.</t>
  </si>
  <si>
    <t>Производственный контроль качества воды</t>
  </si>
  <si>
    <t>5.5.1.</t>
  </si>
  <si>
    <t xml:space="preserve"> контроль качества воды</t>
  </si>
  <si>
    <t>5.5.2.</t>
  </si>
  <si>
    <t>оборудование  лаборатории</t>
  </si>
  <si>
    <t>РЕМОНТНЫЕ РАСХОДЫ</t>
  </si>
  <si>
    <t>6.1.1.</t>
  </si>
  <si>
    <t>6.1.1.1.</t>
  </si>
  <si>
    <t>6.1.1.2.</t>
  </si>
  <si>
    <t>6.1.1.3.</t>
  </si>
  <si>
    <t>6.1.2.</t>
  </si>
  <si>
    <t>6.2.1.</t>
  </si>
  <si>
    <t>6.2.1.1.</t>
  </si>
  <si>
    <t>6.2.1.2.</t>
  </si>
  <si>
    <t>6.2.1.3.</t>
  </si>
  <si>
    <t>6.2.2.</t>
  </si>
  <si>
    <t>Расходы на служебные командировки</t>
  </si>
  <si>
    <t>Расходы на обучение персонала</t>
  </si>
  <si>
    <t>7.4.</t>
  </si>
  <si>
    <t>Расходы на страхование производственных объектов</t>
  </si>
  <si>
    <t>7.5.</t>
  </si>
  <si>
    <t>СБЫТОВЫЕ РАСХОДЫ</t>
  </si>
  <si>
    <t>РАСХОДЫ НА АМОРТИЗАЦИЮ ОСНОВНЫХ СРЕДСТВ И НЕМАТЕРИАЛЬНЫХ АКТИВОВ</t>
  </si>
  <si>
    <t>РАСХОДЫ НА АРЕНДНУЮ ПЛАТУ, ЛИЗИНГОВЫЕ ПЛАТЕЖИ, КОНЦЕССИОННУЮ ПЛАТУ</t>
  </si>
  <si>
    <t>10.1.</t>
  </si>
  <si>
    <t>10.2.</t>
  </si>
  <si>
    <t>РАСХОДЫ, СВЯЗАННЫЕ С ОПЛАТОЙ НАЛОГОВ И СБОРОВ</t>
  </si>
  <si>
    <t>12.3.</t>
  </si>
  <si>
    <t>12.4.</t>
  </si>
  <si>
    <t>Финансовый результат от реализации</t>
  </si>
  <si>
    <t>13.1.</t>
  </si>
  <si>
    <t>13.2.</t>
  </si>
  <si>
    <t>средства на возврат займов и кредитов и процентов по ним</t>
  </si>
  <si>
    <t>налог на прибыль</t>
  </si>
  <si>
    <t xml:space="preserve"> (или)единый налог при УСН </t>
  </si>
  <si>
    <t>Расчетная предпринимательская прибыль гарантирующей организации</t>
  </si>
  <si>
    <t>IХ</t>
  </si>
  <si>
    <t>Расходы на приобретение сырья и материалов и их хранения</t>
  </si>
  <si>
    <t>заполнители фильтров (песок, гравий и пр.)</t>
  </si>
  <si>
    <t>Расходы на энергетические ресурсы и холодную воду</t>
  </si>
  <si>
    <t>Электроэнергия, в том числе</t>
  </si>
  <si>
    <t>активная</t>
  </si>
  <si>
    <t>мощность</t>
  </si>
  <si>
    <t>Тепловая энергия</t>
  </si>
  <si>
    <t>Вода на собственные нужды</t>
  </si>
  <si>
    <t>Водоотведение на собственные нужды</t>
  </si>
  <si>
    <t>Прочие энергоресурсы</t>
  </si>
  <si>
    <t>технического качества</t>
  </si>
  <si>
    <t>в том числе: покупка потерь</t>
  </si>
  <si>
    <t xml:space="preserve">питьевого качества </t>
  </si>
  <si>
    <t>Расходы на оплат уработ и услуг, выполняемых сторонними организациями,  связанные с эксплуатацией централизованных систем либо объектов в составе таких систем, по регулируемым тарифам</t>
  </si>
  <si>
    <t>Услуги по подъему воды</t>
  </si>
  <si>
    <t>Услуги по очистке воды</t>
  </si>
  <si>
    <t>Услуги  по транспортировке воды, в том числе</t>
  </si>
  <si>
    <t>транспортировка технической воды</t>
  </si>
  <si>
    <t xml:space="preserve">транспортировка питьевой воды     </t>
  </si>
  <si>
    <t>Расходы на оплату труда основного персонала</t>
  </si>
  <si>
    <t>Численность основного персонала, относимого на регулируемый вид деятельности, чел</t>
  </si>
  <si>
    <t>Услуги собственных подразделений</t>
  </si>
  <si>
    <t>Услуги вспомогательных производств</t>
  </si>
  <si>
    <t>5.1.1.1.</t>
  </si>
  <si>
    <t>Расходы на оплату труда, относимую на регулируемый вид деятельности</t>
  </si>
  <si>
    <t>5.1.1.1.1.</t>
  </si>
  <si>
    <t>Численность, относимая на регулируемый вид деятельности, чел</t>
  </si>
  <si>
    <t>5.1.1.2.</t>
  </si>
  <si>
    <t>5.1.1.3.</t>
  </si>
  <si>
    <t>Транспортные расходы</t>
  </si>
  <si>
    <t>5.1.2.1.</t>
  </si>
  <si>
    <t>5.1.2.1.1.</t>
  </si>
  <si>
    <t>5.1.2.2.</t>
  </si>
  <si>
    <t>5.1.2.3.</t>
  </si>
  <si>
    <t>Цеховые расходы</t>
  </si>
  <si>
    <t>5.1.3.1.</t>
  </si>
  <si>
    <t>5.1.3.1.1.</t>
  </si>
  <si>
    <t>5.1.3.2.</t>
  </si>
  <si>
    <t>5.1.3.3.</t>
  </si>
  <si>
    <t>Общепроизводственные расходы</t>
  </si>
  <si>
    <t>5.1.4.1.</t>
  </si>
  <si>
    <t>5.1.4.1.1.</t>
  </si>
  <si>
    <t>5.1.4.2.</t>
  </si>
  <si>
    <t>5.1.4.3.</t>
  </si>
  <si>
    <t>Охрана труда всего, в том числе:</t>
  </si>
  <si>
    <t>страхование персонала (кроме ДМС)</t>
  </si>
  <si>
    <t>Расходы на льготный проезд</t>
  </si>
  <si>
    <t>Расходы на содержание зданий (вывоз ТБО, дератизация, дезинсекция)</t>
  </si>
  <si>
    <t>Текущий ремонт централизованных систем водоснабжения, объектов, входящих в состав таких систем, в том числе:</t>
  </si>
  <si>
    <t>затраты на ремонт хоз. способом:</t>
  </si>
  <si>
    <t>заработная плата ремонтного персонала</t>
  </si>
  <si>
    <t>6.1.1.1.1.</t>
  </si>
  <si>
    <t>отчисления на социальные нужды от расходов на оплату труда</t>
  </si>
  <si>
    <t>материалы</t>
  </si>
  <si>
    <t>6.1.1.4.</t>
  </si>
  <si>
    <t>услуги вспомогательных производств</t>
  </si>
  <si>
    <t>6.1.1.5.</t>
  </si>
  <si>
    <t>транспортные расходы</t>
  </si>
  <si>
    <t>6.1.1.6.</t>
  </si>
  <si>
    <t>цеховые расходы</t>
  </si>
  <si>
    <t>6.1.1.7.</t>
  </si>
  <si>
    <t>общехозяйственные расходы</t>
  </si>
  <si>
    <t>затраты на ремонт подрядным способом</t>
  </si>
  <si>
    <t>Капитальный ремонт централизованных систем водоснабжения, объектов, входящих в состав таких систем, в том числе:</t>
  </si>
  <si>
    <t xml:space="preserve"> затраты на ремонт хоз.способом:</t>
  </si>
  <si>
    <t>6.2.1.4.</t>
  </si>
  <si>
    <t>6.2.1.5.</t>
  </si>
  <si>
    <t>6.2.1.6.</t>
  </si>
  <si>
    <t>6.2.1.7.</t>
  </si>
  <si>
    <t>ПРОЧИЕ РАСХОДЫ</t>
  </si>
  <si>
    <t>Расходы на услуги связи</t>
  </si>
  <si>
    <t>Вневедомственная охрана объектов и территории</t>
  </si>
  <si>
    <t>7.6.</t>
  </si>
  <si>
    <t>Лицензирование</t>
  </si>
  <si>
    <t>7.7.</t>
  </si>
  <si>
    <t>ОБЩЕХОЗЯЙСТВЕННЫЕ РАСХОДЫ</t>
  </si>
  <si>
    <t>8.1.1.</t>
  </si>
  <si>
    <t>Расходы по сомнительным долгам</t>
  </si>
  <si>
    <t>9.2.</t>
  </si>
  <si>
    <t>Прочие сбытовые расходы</t>
  </si>
  <si>
    <t>Амортизация основных средств,относимых к объектам централизованной системы водоснабжения</t>
  </si>
  <si>
    <t>Амортизация нематериальных активов,относимых к объектам централизованной системы водоснабжения</t>
  </si>
  <si>
    <t>11.1.</t>
  </si>
  <si>
    <t>лизинговые платежи</t>
  </si>
  <si>
    <t>11.2.</t>
  </si>
  <si>
    <t>концессионная плата</t>
  </si>
  <si>
    <t>11.3.</t>
  </si>
  <si>
    <t>аренда имущества</t>
  </si>
  <si>
    <t>11.4.</t>
  </si>
  <si>
    <t>аренда земельных участков</t>
  </si>
  <si>
    <t>11.5.</t>
  </si>
  <si>
    <t>водный налог</t>
  </si>
  <si>
    <t>11.6.</t>
  </si>
  <si>
    <t>налог на землю</t>
  </si>
  <si>
    <t>11.7.</t>
  </si>
  <si>
    <t>налог на имущество</t>
  </si>
  <si>
    <t>11.8.</t>
  </si>
  <si>
    <t>плата за загрязнение окружающей среды</t>
  </si>
  <si>
    <t>11.9.</t>
  </si>
  <si>
    <t>транспортный налог</t>
  </si>
  <si>
    <t>11.10.</t>
  </si>
  <si>
    <t>прочие налоги и сборы</t>
  </si>
  <si>
    <t>то же в %</t>
  </si>
  <si>
    <t>Показатели</t>
  </si>
  <si>
    <t>Численность по нормативу всего, в том числе</t>
  </si>
  <si>
    <t>чел.</t>
  </si>
  <si>
    <t>численность производственного персонала (подъем воды)</t>
  </si>
  <si>
    <t>численность производственного персонала (очистка воды)</t>
  </si>
  <si>
    <t>численность производственного персонала (транспортировка  воды)</t>
  </si>
  <si>
    <t>Численность, учтенная в тарифах,   всего, в том числе</t>
  </si>
  <si>
    <t>Средняя оплата труда</t>
  </si>
  <si>
    <t>Тарифная ставка рабочего 1 разряда</t>
  </si>
  <si>
    <t>Отраслевой коэффициент</t>
  </si>
  <si>
    <t>Дефлятор по заработной плате</t>
  </si>
  <si>
    <t>Тарифная ставка рабочего 1 разряда с учетом отраслевого коэффициента и дефлятора</t>
  </si>
  <si>
    <t>Средняя ступень оплаты</t>
  </si>
  <si>
    <t>Тарифный коэффициент, соответствующий средней ступени по оплате труда</t>
  </si>
  <si>
    <t>2.7.</t>
  </si>
  <si>
    <t>Среднемесячная тарифная ставка ППП</t>
  </si>
  <si>
    <t>2.8.</t>
  </si>
  <si>
    <t>Выплаты, связанные с режимом работы с условиями труда 1 работника</t>
  </si>
  <si>
    <t>2.8.1.</t>
  </si>
  <si>
    <t>процент выплаты</t>
  </si>
  <si>
    <t>2.8.2.</t>
  </si>
  <si>
    <t>сумма выплат</t>
  </si>
  <si>
    <t>2.9.</t>
  </si>
  <si>
    <t>Текущее премирование</t>
  </si>
  <si>
    <t>2.9.1.</t>
  </si>
  <si>
    <t>2.9.2.</t>
  </si>
  <si>
    <t>2.10.</t>
  </si>
  <si>
    <t>Вознаграждение за выслугу лет</t>
  </si>
  <si>
    <t>2.10.1.</t>
  </si>
  <si>
    <t>2.10.2.</t>
  </si>
  <si>
    <t>2.11.</t>
  </si>
  <si>
    <t>Выплаты по итогам года</t>
  </si>
  <si>
    <t>2.11.1.</t>
  </si>
  <si>
    <t>2.11.2.</t>
  </si>
  <si>
    <t>2.12.</t>
  </si>
  <si>
    <t>Выплаты по районному коэффициенту и северные надбавки</t>
  </si>
  <si>
    <t>2.12.1.</t>
  </si>
  <si>
    <t>2.12.2.</t>
  </si>
  <si>
    <t>2.13.</t>
  </si>
  <si>
    <t>Итого среднемесячная оплата труда на 1 работника</t>
  </si>
  <si>
    <t>Итого средства на оплату труда (включаемые в себестоимость)</t>
  </si>
  <si>
    <t xml:space="preserve">руб.               </t>
  </si>
  <si>
    <t>заработная плата персонала, занятого текущим ремонтом</t>
  </si>
  <si>
    <t>средняя заработная плата</t>
  </si>
  <si>
    <t>численность</t>
  </si>
  <si>
    <t>заработная плата персонала, занятого капитальным ремонтом</t>
  </si>
  <si>
    <t>руб/чел</t>
  </si>
  <si>
    <t>Расчет расходов на оплату труда</t>
  </si>
  <si>
    <t>Расчет расходов на электроэнергию и мощность</t>
  </si>
  <si>
    <t>Нормативный уровень прибыли</t>
  </si>
  <si>
    <t>Текущие расходы всего</t>
  </si>
  <si>
    <t>Итого НВВ, определенная на основании фактических параметров</t>
  </si>
  <si>
    <t>изменение количества условных метров водопроводной  сети</t>
  </si>
  <si>
    <t>Ед. изм</t>
  </si>
  <si>
    <t xml:space="preserve">доля операционных расходов на транспортировку воды, установленная исходя из размера соответствующей доли расходов за последний отчетный год
</t>
  </si>
  <si>
    <t>приложить расчет-обоснование с пояснительной запиской</t>
  </si>
  <si>
    <t xml:space="preserve">изменение операционных расходов на водоподготовку, связанное с вводом в эксплуатацию нового объекта водоподготовки
</t>
  </si>
  <si>
    <t>Вличина сглаживания НВВ, учтенная при утверждении тарифов на 2017 год</t>
  </si>
  <si>
    <t>XI</t>
  </si>
  <si>
    <t>Полезный отпуск, куб.м.</t>
  </si>
  <si>
    <t>в том числе собственное потребление</t>
  </si>
  <si>
    <t xml:space="preserve">                          сторонним потребителям</t>
  </si>
  <si>
    <t>XII</t>
  </si>
  <si>
    <t>Тариф на водоснабжение, руб/куб.м.</t>
  </si>
  <si>
    <t>01.01.2017-30.06.2017</t>
  </si>
  <si>
    <t>XIII</t>
  </si>
  <si>
    <t>Темп роста тарифа</t>
  </si>
  <si>
    <t>ОР</t>
  </si>
  <si>
    <t>НР</t>
  </si>
  <si>
    <t>Электроэнергия</t>
  </si>
  <si>
    <t>объем реализации</t>
  </si>
  <si>
    <t>Расходы на электроэнергию</t>
  </si>
  <si>
    <t>отклонение скорректированного показателя от утвержденной величины</t>
  </si>
  <si>
    <t>I. Паспорт производственной программы</t>
  </si>
  <si>
    <t>Полное наименование организации</t>
  </si>
  <si>
    <t>Юридический адрес, телефон, факс</t>
  </si>
  <si>
    <t>Сфера деятельности</t>
  </si>
  <si>
    <t>Наименование уполномоченного органа</t>
  </si>
  <si>
    <t>Департамент тарифного регулирования Томской   области</t>
  </si>
  <si>
    <t>634041, г. Томск, пр. Кирова 41,                                               тел./факс: (3822)   560-373</t>
  </si>
  <si>
    <t>Период реализации производственной программы (график реализации мероприятий производственной программы)</t>
  </si>
  <si>
    <t xml:space="preserve">с </t>
  </si>
  <si>
    <t>по</t>
  </si>
  <si>
    <t>II. Перечень плановых мероприятий</t>
  </si>
  <si>
    <t>доля года для расчета ПП</t>
  </si>
  <si>
    <t>Вид плановых мероприятий</t>
  </si>
  <si>
    <t>Стоимость по периодам, тыс.руб</t>
  </si>
  <si>
    <t>Плановые мероприятия: по ремонту объектов водоснабжения и водопроводных сетей, направленные на улучшение качества питьевой воды, обслуживания абонентов</t>
  </si>
  <si>
    <t>Плановые мероприятия по энергосбережению и повышению энергетической эффективности, в том числе по снижению потерь воды при транспортировке</t>
  </si>
  <si>
    <t>Другие мероприятия</t>
  </si>
  <si>
    <t xml:space="preserve">III. Планируемый объем подачи воды </t>
  </si>
  <si>
    <t>IV. Объем финансовых потребностей, необходимых для реализации производственной программы</t>
  </si>
  <si>
    <t>Необходимая валовая выручка</t>
  </si>
  <si>
    <t>Удельный расход электроэнергии, потребляемой в технологическом процессе транспортировки воды на единицу объема транспортируемой воды, отпускаемой в сеть</t>
  </si>
  <si>
    <t>Стоимость, тыс.руб</t>
  </si>
  <si>
    <t>Расчет корректировки производственной программы</t>
  </si>
  <si>
    <t>Объем, тыс.куб.м.</t>
  </si>
  <si>
    <t>утв</t>
  </si>
  <si>
    <t>предложение по корректировке</t>
  </si>
  <si>
    <t>кВт.ч  куб.м</t>
  </si>
  <si>
    <t>Сумма, тыс.руб</t>
  </si>
  <si>
    <t>ед в год / км</t>
  </si>
  <si>
    <t>Претензий к качеству экспертизы не имею.</t>
  </si>
  <si>
    <t>Руководитель  ______________________ /________________/</t>
  </si>
  <si>
    <t>Дата _____________________   М.П.</t>
  </si>
  <si>
    <t xml:space="preserve">С тарифами в размере:  с 01.01. по 30.06.__________________с 01.07.-31.12. _________________ согласен. </t>
  </si>
  <si>
    <t>634041, г. Томск, пр. Кирова 41,                                                                                  тел./факс: (3822)   560-373</t>
  </si>
  <si>
    <t>III. Перечень плановых мероприятий</t>
  </si>
  <si>
    <t>IV. Плановые значения показателей надежности, качества и энергетической эффективности объектов централизованных систем водоснабжения</t>
  </si>
  <si>
    <t>Полное наименование</t>
  </si>
  <si>
    <t>Дата правления</t>
  </si>
  <si>
    <t>Для потребителей</t>
  </si>
  <si>
    <t>вид тарифа</t>
  </si>
  <si>
    <t>Приказ №</t>
  </si>
  <si>
    <t>на питьевую воду</t>
  </si>
  <si>
    <t>на техническую воду</t>
  </si>
  <si>
    <t>на питьевую воду (с дополнительной очисткой)</t>
  </si>
  <si>
    <t>на транспортировку воды</t>
  </si>
  <si>
    <t>приказ</t>
  </si>
  <si>
    <t>Расчет налога на имущество</t>
  </si>
  <si>
    <t>Долгосрочные параметры регулирования</t>
  </si>
  <si>
    <t>тыс.руб</t>
  </si>
  <si>
    <t>Индекс эффективности операционных расходов</t>
  </si>
  <si>
    <t>приложить расчет</t>
  </si>
  <si>
    <t>634041, г. Томск, пр. Кирова 41, тел./факс: (3822)   560-373</t>
  </si>
  <si>
    <t>II. Выполнение плановых мероприятий</t>
  </si>
  <si>
    <t>план</t>
  </si>
  <si>
    <t>откл</t>
  </si>
  <si>
    <t>III. Объем подачи (транспортировки, очистки) воды</t>
  </si>
  <si>
    <t>Объем реализации</t>
  </si>
  <si>
    <t>V. Выполнение плановые значения показателей надежности, качества и энергетической эффективности объектов централизованных систем водоснабжения</t>
  </si>
  <si>
    <t xml:space="preserve"> </t>
  </si>
  <si>
    <t/>
  </si>
  <si>
    <t>без учета НДС</t>
  </si>
  <si>
    <t>ДТР</t>
  </si>
  <si>
    <t>орг</t>
  </si>
  <si>
    <t>аварииоткл</t>
  </si>
  <si>
    <t>адрес организации</t>
  </si>
  <si>
    <t>начало рег периода</t>
  </si>
  <si>
    <t>Наименование статьи</t>
  </si>
  <si>
    <t>предложение эксперта по корректировке</t>
  </si>
  <si>
    <t>отклонение</t>
  </si>
  <si>
    <t>руб/куб.м.</t>
  </si>
  <si>
    <t>Объем по периодам, тыс.куб.м.</t>
  </si>
  <si>
    <t>2014 год</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</si>
  <si>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</si>
  <si>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</si>
  <si>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</si>
  <si>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</si>
  <si>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</si>
  <si>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</si>
  <si>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</si>
  <si>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</si>
  <si>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</si>
  <si>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</si>
  <si>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</si>
  <si>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</si>
  <si>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</si>
  <si>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</si>
  <si>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</si>
  <si>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</si>
  <si>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</si>
  <si>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</si>
  <si>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</si>
  <si>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</si>
  <si>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</si>
  <si>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</si>
  <si>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</si>
  <si>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</si>
  <si>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</si>
  <si>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</si>
  <si>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</si>
  <si>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</si>
  <si>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</si>
  <si>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</si>
  <si>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</si>
  <si>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</si>
  <si>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</si>
  <si>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</si>
  <si>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</si>
  <si>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</si>
  <si>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</si>
  <si>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</si>
  <si>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</si>
  <si>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годовая сумма амортизации</t>
  </si>
  <si>
    <t>% по займам и кредитам для выполнения ИПР</t>
  </si>
  <si>
    <t>факт по данным оганизации</t>
  </si>
  <si>
    <t>1.45</t>
  </si>
  <si>
    <t>1.46</t>
  </si>
  <si>
    <t>1.47</t>
  </si>
  <si>
    <t>1.48</t>
  </si>
  <si>
    <t>1.49</t>
  </si>
  <si>
    <t>1.50</t>
  </si>
  <si>
    <t>1.51</t>
  </si>
  <si>
    <t>1.52</t>
  </si>
  <si>
    <t>1.53</t>
  </si>
  <si>
    <t>м</t>
  </si>
  <si>
    <t>01.01.2018-30.06.2018</t>
  </si>
  <si>
    <t>01.07.2018-31.12.2018</t>
  </si>
  <si>
    <t>водоснабжение</t>
  </si>
  <si>
    <t>Тип водного объекта</t>
  </si>
  <si>
    <t>Отпущено (реализовано)</t>
  </si>
  <si>
    <t>Подъем (забор) воды</t>
  </si>
  <si>
    <t>Расчет водного налога</t>
  </si>
  <si>
    <t>В пределах установленных лимитов водопользования</t>
  </si>
  <si>
    <t>из поверхностных источников</t>
  </si>
  <si>
    <t>из подземных источников</t>
  </si>
  <si>
    <r>
      <t>Налоговая база всего, м</t>
    </r>
    <r>
      <rPr>
        <b/>
        <vertAlign val="superscript"/>
        <sz val="10"/>
        <rFont val="Times New Roman"/>
        <family val="1"/>
        <charset val="204"/>
      </rPr>
      <t>3</t>
    </r>
    <r>
      <rPr>
        <b/>
        <sz val="10"/>
        <rFont val="Times New Roman"/>
        <family val="1"/>
        <charset val="204"/>
      </rPr>
      <t>, в том числе:</t>
    </r>
  </si>
  <si>
    <r>
      <t>объем поднятой воды для водоснабжения населения, м</t>
    </r>
    <r>
      <rPr>
        <vertAlign val="superscript"/>
        <sz val="10"/>
        <rFont val="Times New Roman"/>
        <family val="1"/>
        <charset val="204"/>
      </rPr>
      <t>3</t>
    </r>
  </si>
  <si>
    <t>объем поднятой воды для водоснабжения прочих потребителей всего, м3 (бюджетные и прочие потребители, собственное потребление организации)</t>
  </si>
  <si>
    <t>1.2.1.</t>
  </si>
  <si>
    <t>бассейн р.Обь</t>
  </si>
  <si>
    <t>1.2.2.</t>
  </si>
  <si>
    <t>бассейн прочих рек и озер</t>
  </si>
  <si>
    <r>
      <t>Налоговая ставка, руб./ м</t>
    </r>
    <r>
      <rPr>
        <b/>
        <vertAlign val="superscript"/>
        <sz val="10"/>
        <rFont val="Times New Roman"/>
        <family val="1"/>
        <charset val="204"/>
      </rPr>
      <t>3</t>
    </r>
  </si>
  <si>
    <t>водоснабжение населения</t>
  </si>
  <si>
    <t>водоснабжение прочих потребителей</t>
  </si>
  <si>
    <t>2.2.1.</t>
  </si>
  <si>
    <t>2.2.2.</t>
  </si>
  <si>
    <t>Сумма налога всего, в том числе:</t>
  </si>
  <si>
    <t>3.2.1.</t>
  </si>
  <si>
    <t>Потребители</t>
  </si>
  <si>
    <t>Бюджет</t>
  </si>
  <si>
    <t>Население</t>
  </si>
  <si>
    <t>Прочие</t>
  </si>
  <si>
    <t>перепродавцы</t>
  </si>
  <si>
    <t>Фактический полезный отпуск</t>
  </si>
  <si>
    <t>2013 год</t>
  </si>
  <si>
    <t>Динамика фактического отпуска воды</t>
  </si>
  <si>
    <t>ВСЕГО полезный отпуск</t>
  </si>
  <si>
    <t>Утвержденный уровень потерь</t>
  </si>
  <si>
    <t>Принимаемая в расчет динамика полезного отпуска</t>
  </si>
  <si>
    <t>Объем потерь</t>
  </si>
  <si>
    <t>Объем воды на технологию</t>
  </si>
  <si>
    <t>Объем покупки воды со стороны</t>
  </si>
  <si>
    <t>в среднем за три года</t>
  </si>
  <si>
    <t>ВСЕГО подъем воды</t>
  </si>
  <si>
    <t>Расчетный объем воды, отпускаемой новым абонентам, за вычетом потребления воды абонентами, водоснабжение которых прекращено, м3</t>
  </si>
  <si>
    <t xml:space="preserve"> - объем воды, отпускаемый новым абонентам, подключившимся к централизованной системе водоснабжения </t>
  </si>
  <si>
    <t xml:space="preserve"> - потребление воды абонентами, водоснабжение которых прекращено</t>
  </si>
  <si>
    <t xml:space="preserve"> - расчетный объем воды, отпускаемый по старым нормативам</t>
  </si>
  <si>
    <t xml:space="preserve"> - расчетный объем воды, отпускаемый по новым нормативам</t>
  </si>
  <si>
    <t>Потери+технология</t>
  </si>
  <si>
    <t>2018</t>
  </si>
  <si>
    <t>01.01.2019-30.06.2019</t>
  </si>
  <si>
    <t>01.07.2019-31.12.2019</t>
  </si>
  <si>
    <t>2018 год</t>
  </si>
  <si>
    <t>Необходимая валовая выручка, определенная на основе фактических значений параметров расчета и расчет тарифов на 2018 год</t>
  </si>
  <si>
    <t>утвержден в Приложении 2 к приказу ДТР ТО об установлении тарифов на 2017-2019 г</t>
  </si>
  <si>
    <t>факт 2016 г</t>
  </si>
  <si>
    <t>план 2018 г</t>
  </si>
  <si>
    <t>2017 утв</t>
  </si>
  <si>
    <t>2018 предложение по корректировке</t>
  </si>
  <si>
    <t>2018 год, значение</t>
  </si>
  <si>
    <t>Стоимость, тыс.руб     2018 год</t>
  </si>
  <si>
    <t>Значение                                                            2018 год</t>
  </si>
  <si>
    <t>Баланс водоснабжения на 2018 год</t>
  </si>
  <si>
    <t>2016 год</t>
  </si>
  <si>
    <t>I. Отчет о выполнении производственной программы за 2016 год</t>
  </si>
  <si>
    <t>Сумма за 2016 год, тыс.руб</t>
  </si>
  <si>
    <t>Объем за 2016 год, тыс. куб.м.</t>
  </si>
  <si>
    <t>Значение за 2016 год</t>
  </si>
  <si>
    <t>планрем16</t>
  </si>
  <si>
    <t>фактрем16</t>
  </si>
  <si>
    <t>отклрем16</t>
  </si>
  <si>
    <t>планэнсбер16</t>
  </si>
  <si>
    <t>фактэнсбер16</t>
  </si>
  <si>
    <t>отклэнсбер16</t>
  </si>
  <si>
    <t>пландругиепп16</t>
  </si>
  <si>
    <t>фактдругиепп16</t>
  </si>
  <si>
    <t>отклдругиепп16</t>
  </si>
  <si>
    <t>всегоППплан16</t>
  </si>
  <si>
    <t>всегофактПП16</t>
  </si>
  <si>
    <t>всегоотклПП16</t>
  </si>
  <si>
    <t>ПОплан16</t>
  </si>
  <si>
    <t>ПОфакт16</t>
  </si>
  <si>
    <t>ПОоткл16</t>
  </si>
  <si>
    <t>НВВплан16</t>
  </si>
  <si>
    <t>НВВфакт16</t>
  </si>
  <si>
    <t>НВВоткл16</t>
  </si>
  <si>
    <t>пробыстанплан16</t>
  </si>
  <si>
    <t>пробыстанфакт16</t>
  </si>
  <si>
    <t>пробыстаноткл16</t>
  </si>
  <si>
    <t>пробысетьплан16</t>
  </si>
  <si>
    <t>пробысетьфакт16</t>
  </si>
  <si>
    <t>пробысетьоткл16</t>
  </si>
  <si>
    <t>аварииплан16</t>
  </si>
  <si>
    <t>авариифакт16</t>
  </si>
  <si>
    <t>потериплан16</t>
  </si>
  <si>
    <t>потерифакт16</t>
  </si>
  <si>
    <t>потериоткл16</t>
  </si>
  <si>
    <t>удээподгоплан16</t>
  </si>
  <si>
    <t>удээподгфакт16</t>
  </si>
  <si>
    <t>удээоткл16</t>
  </si>
  <si>
    <t>удээтранспплан16</t>
  </si>
  <si>
    <t>удээтранспфакт16</t>
  </si>
  <si>
    <t>удээтранспоткл16</t>
  </si>
  <si>
    <t>факт 2016 года</t>
  </si>
  <si>
    <t>Индексы-дефляторы, применяемые при расчете НВВ</t>
  </si>
  <si>
    <t>по данным организации,  г/г</t>
  </si>
  <si>
    <t>экспертом ДТР ТО, г/г</t>
  </si>
  <si>
    <t>2016 г</t>
  </si>
  <si>
    <t>2017 г</t>
  </si>
  <si>
    <t>2018 г</t>
  </si>
  <si>
    <t>2019, г</t>
  </si>
  <si>
    <t>2020, г</t>
  </si>
  <si>
    <t>Отчисления от ФОТ</t>
  </si>
  <si>
    <t xml:space="preserve">Прибыль </t>
  </si>
  <si>
    <t>Вид водозабора</t>
  </si>
  <si>
    <t>Вороновское</t>
  </si>
  <si>
    <t>КПП</t>
  </si>
  <si>
    <t>5116000922</t>
  </si>
  <si>
    <t>540645001</t>
  </si>
  <si>
    <t>акционерное общество "Главное управление жилищно-коммунального хозяйства"</t>
  </si>
  <si>
    <t>7002006723</t>
  </si>
  <si>
    <t>701701001</t>
  </si>
  <si>
    <t>7002010695</t>
  </si>
  <si>
    <t>700201001</t>
  </si>
  <si>
    <t>муниципальное унитарное предприятие "Спецавтохозяйство"</t>
  </si>
  <si>
    <t>7002011508</t>
  </si>
  <si>
    <t>муниципальное унитарное предприятие "Большедороховское жилищно-коммунальное хозяйство"</t>
  </si>
  <si>
    <t>7002011515</t>
  </si>
  <si>
    <t>муниципальное унитарное предприятие "Новокусковское жилищно-коммунальное хозяйство"</t>
  </si>
  <si>
    <t>7002011522</t>
  </si>
  <si>
    <t>муниципальное унитарное предприятие "Новиковское жилищно-коммунальное хозяйство"</t>
  </si>
  <si>
    <t>7002011530</t>
  </si>
  <si>
    <t>муниципальное унитарное предприятие "Батуринское жилищно-коммунальное хозяйство"</t>
  </si>
  <si>
    <t>7002011547</t>
  </si>
  <si>
    <t>муниципальноте унитарное предприятие "Ягодное жилищно-коммунальное хозяйство"</t>
  </si>
  <si>
    <t>7002011787</t>
  </si>
  <si>
    <t>муниципальное унитарное предприятие "Новониколаевское жилищно-коммунальное хозяйство"</t>
  </si>
  <si>
    <t>7002016312</t>
  </si>
  <si>
    <t>общество с ограниченной ответственностью "Асиновская водяная компания"</t>
  </si>
  <si>
    <t>7002016626</t>
  </si>
  <si>
    <t>общество с ограниченной ответственностью "Асиновская тепло-генерирующая компания-№1"</t>
  </si>
  <si>
    <t>7002016954</t>
  </si>
  <si>
    <t>муниципальное унитарное предприятие "Новокусковские коммунальные системы"</t>
  </si>
  <si>
    <t>7002017027</t>
  </si>
  <si>
    <t>общество с ограниченной ответсвенностью "Асиновский водоканал"</t>
  </si>
  <si>
    <t>7002017059</t>
  </si>
  <si>
    <t>общество с ограниченной ответственностью "АКОС"</t>
  </si>
  <si>
    <t>7002017186</t>
  </si>
  <si>
    <t>общество с ограниченной ответственностью "Теплоэнергоресурс №1"</t>
  </si>
  <si>
    <t>7002017193</t>
  </si>
  <si>
    <t>общество с ограниченной ответственностью "Теплоэнергоресурс №2"</t>
  </si>
  <si>
    <t>7002017203</t>
  </si>
  <si>
    <t>общество с ограниченной ответственностью "Теплоэнергоресурс №3"</t>
  </si>
  <si>
    <t>7002017210</t>
  </si>
  <si>
    <t>общество с ограниченной ответственностью "Теплоэнергоресурс №4"</t>
  </si>
  <si>
    <t>7003000227</t>
  </si>
  <si>
    <t>700301001</t>
  </si>
  <si>
    <t>муниципальное унитарное предприятие Бакчарского района "Бакчарский коммунальный комплекс"</t>
  </si>
  <si>
    <t>7003000273</t>
  </si>
  <si>
    <t>областное государственное бюджетное образовательное учреждение начального профессионального образования "Профессиональное училище № 35"</t>
  </si>
  <si>
    <t>7003003130</t>
  </si>
  <si>
    <t>открытое акционерное общество "Агропромышленная компания "Галкинская"</t>
  </si>
  <si>
    <t>7004004746</t>
  </si>
  <si>
    <t>700401001</t>
  </si>
  <si>
    <t>общество с ограниченной ответственностью "Гранит"</t>
  </si>
  <si>
    <t>7004005323</t>
  </si>
  <si>
    <t>общество с ограниченной ответственностью "БИО ТЭК Верхняя Кеть"</t>
  </si>
  <si>
    <t>7004006052</t>
  </si>
  <si>
    <t>общество с ограниченной ответственностью "БИО ТЭК-С"</t>
  </si>
  <si>
    <t>700400687080</t>
  </si>
  <si>
    <t>отсутствует</t>
  </si>
  <si>
    <t>индивидуальный предприниматель Ковыряхин Юрий Анатольевич</t>
  </si>
  <si>
    <t>7004007151</t>
  </si>
  <si>
    <t>общество с ограниченной ответственностью "Деметра"</t>
  </si>
  <si>
    <t>7004007200</t>
  </si>
  <si>
    <t>общество с ограниченной ответственностью "Сайга-Энерго"</t>
  </si>
  <si>
    <t>7004007240</t>
  </si>
  <si>
    <t>общество с ограниченной ответственностью "Коммунально-жилищный сервис Ягодное"</t>
  </si>
  <si>
    <t>7004007610</t>
  </si>
  <si>
    <t>муниципальное унитарное предприятие Степановского сельского поселения "Степановское"</t>
  </si>
  <si>
    <t>7004007708</t>
  </si>
  <si>
    <t>общество с ограниченной ответственностью "Орловка"</t>
  </si>
  <si>
    <t>700500339834</t>
  </si>
  <si>
    <t>индивидуальный предприниматель Маслов Сергей Афанасьевич</t>
  </si>
  <si>
    <t>7005006305</t>
  </si>
  <si>
    <t>700501001</t>
  </si>
  <si>
    <t>муниципальное учреждение - Администрация Чердатского сельского поселения</t>
  </si>
  <si>
    <t>7005006312</t>
  </si>
  <si>
    <t>муниципальное учреждение - Администрация Высоковского сельского поселения</t>
  </si>
  <si>
    <t>7005006344</t>
  </si>
  <si>
    <t>муниципальное учреждение - Администрация Дубровского сельского поселения</t>
  </si>
  <si>
    <t>7005006560</t>
  </si>
  <si>
    <t>7005007193</t>
  </si>
  <si>
    <t>общество с ограниченной ответственностью "Аква-Сервис"</t>
  </si>
  <si>
    <t>7005007203</t>
  </si>
  <si>
    <t>общество с ограниченной ответственностью "Эко-Транс"</t>
  </si>
  <si>
    <t>7005015638</t>
  </si>
  <si>
    <t>общество с ограниченной ответственностью "КомСервис Тегульдет"</t>
  </si>
  <si>
    <t>7005016590</t>
  </si>
  <si>
    <t>муниципальное унитарное предприятие "Прогресс"</t>
  </si>
  <si>
    <t>700501702507</t>
  </si>
  <si>
    <t>индивидуальный предприниматель Антипин Андрей Федорович</t>
  </si>
  <si>
    <t>7006005110</t>
  </si>
  <si>
    <t>700601001</t>
  </si>
  <si>
    <t>муниципальное унитарное предприятие "Каргасокский жилищно=эксплуатационный участок" Каргасокского сельского поселения</t>
  </si>
  <si>
    <t>7006005632</t>
  </si>
  <si>
    <t>муниципальное унитарное предприятие  Каргасокский "Тепловодоканал"</t>
  </si>
  <si>
    <t>7006006153</t>
  </si>
  <si>
    <t>муниципальное унитарное предприятие "ЖКХ Сосновское" муниципального образования "Сосновское сельское поселение"</t>
  </si>
  <si>
    <t>7006006160</t>
  </si>
  <si>
    <t>муниципальное унитарное предприятие "ЖКХ Молодежный" муниципального образования "Среднетымское сельское поселение"</t>
  </si>
  <si>
    <t>7006006298</t>
  </si>
  <si>
    <t>муниципальное унитарное предприятие "ЖКХ Тымское" муниципального образования "Тымское сельское поселение"</t>
  </si>
  <si>
    <t>7006007407</t>
  </si>
  <si>
    <t>муниципальное унитарное предприятие " Нововасюганское" муниципального образования "Нововасюганское сельское поселение"</t>
  </si>
  <si>
    <t>7006008432</t>
  </si>
  <si>
    <t>муниципальное унитарное предприятие "ЖКХ Васюган" муниципального образования "Средневасюганское сельское поселение"</t>
  </si>
  <si>
    <t>700700053744</t>
  </si>
  <si>
    <t>индивидуальный предприниматель Волшуков Виктор Николаевич</t>
  </si>
  <si>
    <t>7007007583</t>
  </si>
  <si>
    <t>700701001</t>
  </si>
  <si>
    <t>общество с ограниченной ответственностью "Риск"</t>
  </si>
  <si>
    <t>7007007657</t>
  </si>
  <si>
    <t>общество с ограниченной ответственностью "Заря - Сервис"</t>
  </si>
  <si>
    <t>7007009950</t>
  </si>
  <si>
    <t>общество с ограниченной ответственностью "Колпашевская тепловая компания"</t>
  </si>
  <si>
    <t>7007010120</t>
  </si>
  <si>
    <t>общество с ограниченной ответственностью "Водоканал - 2"</t>
  </si>
  <si>
    <t>7007010138</t>
  </si>
  <si>
    <t>общество с ограниченной ответственностью "Водоканал - 1"</t>
  </si>
  <si>
    <t>7007011117</t>
  </si>
  <si>
    <t>общество с ограниченной ответственностью "Энергия"</t>
  </si>
  <si>
    <t>7007011269</t>
  </si>
  <si>
    <t>муниципальное унитарное предприятие "Пламя"</t>
  </si>
  <si>
    <t>7007011639</t>
  </si>
  <si>
    <t>общество с ограниченной ответственностью "Колпашевские очистные системы"</t>
  </si>
  <si>
    <t>700704480874</t>
  </si>
  <si>
    <t>индивидуальный предприниматель Воронин Сергей Петрович</t>
  </si>
  <si>
    <t>7008006430</t>
  </si>
  <si>
    <t>700801001</t>
  </si>
  <si>
    <t>7008006448</t>
  </si>
  <si>
    <t>общество с ограниченной ответственностью  "Кожевниковский КОМХОЗ"</t>
  </si>
  <si>
    <t>7008007554</t>
  </si>
  <si>
    <t>общество с ограниченной ответственностью "Селькомхоз"</t>
  </si>
  <si>
    <t>7009003954</t>
  </si>
  <si>
    <t>700901001</t>
  </si>
  <si>
    <t>муниципальное унитарное предприятие "Жилищно-коммунальное хозяйство Кривошеинского сельского поселения"</t>
  </si>
  <si>
    <t>7009004027</t>
  </si>
  <si>
    <t>общество с ограниченной ответственностью "H 2 O"</t>
  </si>
  <si>
    <t>7009004073</t>
  </si>
  <si>
    <t>общество с ограниченной ответственностью "Энергоресурс"</t>
  </si>
  <si>
    <t>701000127664</t>
  </si>
  <si>
    <t>индивидуальный предприниматель Сысоев Владимир Геннадьевич</t>
  </si>
  <si>
    <t>7010002296</t>
  </si>
  <si>
    <t>701001001</t>
  </si>
  <si>
    <t>общество с ограниченной ответственностью "Энергия-М"</t>
  </si>
  <si>
    <t>7010002673</t>
  </si>
  <si>
    <t>общество с ограниченной ответственностью "Компания экологической безопасности"</t>
  </si>
  <si>
    <t>7010002916</t>
  </si>
  <si>
    <t>общество с ограниченной ответственностью "Водовод"</t>
  </si>
  <si>
    <t>7010005579</t>
  </si>
  <si>
    <t>исполнительно-распорядительный орган муниципального образованияТунгусовского сельского поселения Администрация Тунгусовского сельского поселения</t>
  </si>
  <si>
    <t>7011003207</t>
  </si>
  <si>
    <t>701101001</t>
  </si>
  <si>
    <t>муниципальное унитарное предприятие "Нарымское жилищно-коммунальное хозяйство"</t>
  </si>
  <si>
    <t>7011005155</t>
  </si>
  <si>
    <t>муниципальное казенное учреждение Администрация Новосельцевского сельского поселения - исполнительно распорядительный орган муниципального образования Новосельцевского сельского поселения</t>
  </si>
  <si>
    <t>7011005162</t>
  </si>
  <si>
    <t>муниципальное казенное учреждение Администрация Заводского сельского поселения - исполнительно распорядительный орган муниципального образования Заводского сельского поселения</t>
  </si>
  <si>
    <t>7011006014</t>
  </si>
  <si>
    <t>общество с ограниченной ответственностью "Универсал-Сервис"</t>
  </si>
  <si>
    <t>7011006092</t>
  </si>
  <si>
    <t>муниципальное унитарное предприятие "Парабель - Энергокомплекс"</t>
  </si>
  <si>
    <t>7011006215</t>
  </si>
  <si>
    <t>общество с ограниченной ответственностью "Строитель"</t>
  </si>
  <si>
    <t>701100720660</t>
  </si>
  <si>
    <t>индивидуальный предприниматель Стрельников Сергей Владимирович</t>
  </si>
  <si>
    <t>701101197192</t>
  </si>
  <si>
    <t>индивидуальный предприниматель Михайлов Андрей Васильевич</t>
  </si>
  <si>
    <t>7012004926</t>
  </si>
  <si>
    <t>701201001</t>
  </si>
  <si>
    <t>муниципальное унитарное предприятие "Сергеевское"</t>
  </si>
  <si>
    <t>7012004958</t>
  </si>
  <si>
    <t>муниципальное унитарное предприятие "Жилкомхоз"</t>
  </si>
  <si>
    <t>7012006779</t>
  </si>
  <si>
    <t>общество с ограниченной ответственностью "Луговское"</t>
  </si>
  <si>
    <t>7012007162</t>
  </si>
  <si>
    <t>общество с ограниченной ответственностью "Жилкомфорт"</t>
  </si>
  <si>
    <t>7012007170</t>
  </si>
  <si>
    <t>общество с ограниченной ответственностью "Альянс"</t>
  </si>
  <si>
    <t>7014000490</t>
  </si>
  <si>
    <t>открытое акционерное общество "Томскснаб"</t>
  </si>
  <si>
    <t>701401371204</t>
  </si>
  <si>
    <t>индивидуальный предприниматель Тимофеев Юрий Никитович</t>
  </si>
  <si>
    <t>701401633450</t>
  </si>
  <si>
    <t>ииндивидуальный предприниматель Градовец Александр Владимирович</t>
  </si>
  <si>
    <t>7014027742</t>
  </si>
  <si>
    <t>701401001</t>
  </si>
  <si>
    <t>общество с ограниченной ответственностью "Межениновская птицефабрика"</t>
  </si>
  <si>
    <t>7014040790</t>
  </si>
  <si>
    <t>общество с ограниченной ответственностью "Тепло-энергетическое предприятие Лоскутовское"</t>
  </si>
  <si>
    <t>7014041063</t>
  </si>
  <si>
    <t>общество с ограниченной ответственностью "ЖКХ Рыбаловское"</t>
  </si>
  <si>
    <t>7014041634</t>
  </si>
  <si>
    <t>общество с ограниченной ответственностью  "Санаторий Синий Утес"</t>
  </si>
  <si>
    <t>7014043021</t>
  </si>
  <si>
    <t>общество с ограниченной ответственностью "РЕКА+"</t>
  </si>
  <si>
    <t>7014044794</t>
  </si>
  <si>
    <t>общество с ограниченной ответственностью "КП "Ключи"</t>
  </si>
  <si>
    <t>7014045068</t>
  </si>
  <si>
    <t>муниципальное унитарное предприятие Богашевского сельского поселения "Орион"</t>
  </si>
  <si>
    <t>7014048076</t>
  </si>
  <si>
    <t>общество с ограниченной ответственностью "Восточная Инвестиционная Газовая Компания"</t>
  </si>
  <si>
    <t>7014049866</t>
  </si>
  <si>
    <t>муниципальное казенное предприятие Томского района "Технополигон"</t>
  </si>
  <si>
    <t>7014049915</t>
  </si>
  <si>
    <t>общество с ограниченной ответственностью "ЭКМО"</t>
  </si>
  <si>
    <t>7014053541</t>
  </si>
  <si>
    <t>общество с ограниченной ответственностью "Ресурс-Т"</t>
  </si>
  <si>
    <t>7014054440</t>
  </si>
  <si>
    <t>общество с ограниченной ответственностью "Водоресурс"</t>
  </si>
  <si>
    <t>7014054979</t>
  </si>
  <si>
    <t>муниципальное предприятие Зональненского сельского поселения "Служба коммунального сервиса"</t>
  </si>
  <si>
    <t>7014055027</t>
  </si>
  <si>
    <t>7014055404</t>
  </si>
  <si>
    <t>муниципальное унитарное предприятие жилищно-коммунального хозяйства "Исток" Новорождественского сельского поселения</t>
  </si>
  <si>
    <t>7014055644</t>
  </si>
  <si>
    <t>общество с ограниченной ответственностью "Управляющая компания "Томскосельское"</t>
  </si>
  <si>
    <t>7014055796</t>
  </si>
  <si>
    <t>общество с ограниченной ответственностью "Восточная Водяная Компания"</t>
  </si>
  <si>
    <t>7014055806</t>
  </si>
  <si>
    <t>общество с ограниченной ответственностью "Восточная Тепловая Компания"</t>
  </si>
  <si>
    <t>7014055813</t>
  </si>
  <si>
    <t>общество с ограниченной ответственностью "Восточная Компания"</t>
  </si>
  <si>
    <t>7014055845</t>
  </si>
  <si>
    <t>общество с ограниченной ответственность "Западная Тепловая Компания"</t>
  </si>
  <si>
    <t>7014055884</t>
  </si>
  <si>
    <t>общество с ограниченной ответственностью "Южная Тепловая Компания"</t>
  </si>
  <si>
    <t>7014056084</t>
  </si>
  <si>
    <t>общество с ограниченной ответственностью "Теплогазсервис"</t>
  </si>
  <si>
    <t>7014056711</t>
  </si>
  <si>
    <t>общество с ограниченной ответственностью "Гарант"</t>
  </si>
  <si>
    <t>7014057257</t>
  </si>
  <si>
    <t>муниципальное унитарное предприятие Межениновского сельского поселения "Жилищно-коммунальное хозяйство ВодСервис"</t>
  </si>
  <si>
    <t>7014057320</t>
  </si>
  <si>
    <t>муниципальное унитарное предприятие "Жилищное коммунальное хозяйство Октябрьское"</t>
  </si>
  <si>
    <t>7014057377</t>
  </si>
  <si>
    <t>общество с ограниченной ответственностью "Комсервис+М"</t>
  </si>
  <si>
    <t>7014057715</t>
  </si>
  <si>
    <t>муниципальное унитарное предприятие Заречного сельского поселения "Заречное"</t>
  </si>
  <si>
    <t>7014057754</t>
  </si>
  <si>
    <t>общество с ограниченной ответственностью "Водоканал"</t>
  </si>
  <si>
    <t>7014057779</t>
  </si>
  <si>
    <t>муниципальное унитарное предприятие «ТУРУНТАЕВО-ПАРТНЕР»</t>
  </si>
  <si>
    <t>7014057916</t>
  </si>
  <si>
    <t>муниципальное унитарное предприятие "Норма"</t>
  </si>
  <si>
    <t>7014059825</t>
  </si>
  <si>
    <t>7014059920</t>
  </si>
  <si>
    <t>муниципальное унитарное предприятие Спасского сельского поселения "Техник"</t>
  </si>
  <si>
    <t>7014061454</t>
  </si>
  <si>
    <t>общество с ограниченной ответственностью "Ресурс"</t>
  </si>
  <si>
    <t>7015000373</t>
  </si>
  <si>
    <t>701501001</t>
  </si>
  <si>
    <t>муниципальное унитарное предприятие Чаинского района "Чаинское производственное объединение жилищно-коммунального хозяйства"</t>
  </si>
  <si>
    <t>7015000535</t>
  </si>
  <si>
    <t>областное государственное бюджетное учреждение здравоохранения "Чаинская районная больница"</t>
  </si>
  <si>
    <t>7016000016</t>
  </si>
  <si>
    <t>701601001</t>
  </si>
  <si>
    <t>7016000030</t>
  </si>
  <si>
    <t>общество с ограниченной ответственностью "Автотранс"</t>
  </si>
  <si>
    <t>7016000584</t>
  </si>
  <si>
    <t>муниципальное унитарное предприятие "Комфорт"</t>
  </si>
  <si>
    <t>7016001098</t>
  </si>
  <si>
    <t>областное государственное социальное учреждение "Дом-интернат для престарелых и инвалидов "Лесная дача"</t>
  </si>
  <si>
    <t>7016001620</t>
  </si>
  <si>
    <t>областное государственное автономное учреждение "Шегарский психоневрологический интернат "ЗАБОТА"</t>
  </si>
  <si>
    <t>7016005617</t>
  </si>
  <si>
    <t>общество с ограниченной ответственностью "Шегарский водоканал"</t>
  </si>
  <si>
    <t>7016007156</t>
  </si>
  <si>
    <t>общество с ограниченной отвественностью Управляющая компания "Успех"</t>
  </si>
  <si>
    <t>7017001968</t>
  </si>
  <si>
    <t>онитарное муниципальное предприятие "Спецавтохозяйство г. Томска"</t>
  </si>
  <si>
    <t>7017002136</t>
  </si>
  <si>
    <t>онитарное муниципальное предприятие г. Томска "Комбинат Спецобслуживания" по организации похорон и предоставлению связанных с ними услуг</t>
  </si>
  <si>
    <t>7017004366</t>
  </si>
  <si>
    <t>акционерное общество "Транснефть-Центральная Сибирь"</t>
  </si>
  <si>
    <t>7017005289</t>
  </si>
  <si>
    <t>701702010</t>
  </si>
  <si>
    <t>общество с ограниченной ответственностью "Газпром трансгаз Томск"</t>
  </si>
  <si>
    <t>702243001</t>
  </si>
  <si>
    <t>7017012254</t>
  </si>
  <si>
    <t>закрытое акционерное общество "Сибирская Аграрная Группа"</t>
  </si>
  <si>
    <t>7017063682</t>
  </si>
  <si>
    <t>закрытое акционерное общество "Восточная Инвестиционная Газовая Компания"</t>
  </si>
  <si>
    <t>7017071531</t>
  </si>
  <si>
    <t>общество с ограниченной ответственностью "Квинта"</t>
  </si>
  <si>
    <t>7017075536</t>
  </si>
  <si>
    <t>общество с ограниченной ответственностью "Томскнефтехим"</t>
  </si>
  <si>
    <t>7017095349</t>
  </si>
  <si>
    <t>открытое акционерное общество "Организация "Технотрон"</t>
  </si>
  <si>
    <t>7017098220</t>
  </si>
  <si>
    <t>общество с ограниченной ответственностью "Завод приборных подшипников"</t>
  </si>
  <si>
    <t>7017110131</t>
  </si>
  <si>
    <t>закрытое акционерное общество Кондитерская фабрика "Красная звезда"</t>
  </si>
  <si>
    <t>7017123606</t>
  </si>
  <si>
    <t>общество с ограниченной ответственностью "Управляющая компания "Томского приборного завода"</t>
  </si>
  <si>
    <t>7017129118</t>
  </si>
  <si>
    <t>общество с ограниченной ответственностью "СетьСервис"</t>
  </si>
  <si>
    <t>7017134397</t>
  </si>
  <si>
    <t>общество с ограниченной ответственностью "ГазТехСервис"</t>
  </si>
  <si>
    <t>7017213271</t>
  </si>
  <si>
    <t>общество с ограниченной ответственностью "Томлесдрев"</t>
  </si>
  <si>
    <t>7017245330</t>
  </si>
  <si>
    <t>общество с ограниченной ответственностью "Сетевая компания ТДСК"</t>
  </si>
  <si>
    <t>7017249750</t>
  </si>
  <si>
    <t>общество с ограниченной ответственностью «Термо»</t>
  </si>
  <si>
    <t>7017253147</t>
  </si>
  <si>
    <t>700743001</t>
  </si>
  <si>
    <t>государственное унитарное предприятие Томской области  "Областное дорожное ремонтно - строительное управление"</t>
  </si>
  <si>
    <t>701443001</t>
  </si>
  <si>
    <t>государственное унитарное предприятие Томской области "Областное дорожное ремонтно - строительное управление"</t>
  </si>
  <si>
    <t>7017270664</t>
  </si>
  <si>
    <t>общество с ограниченной ответственностью "Томскводоканал"</t>
  </si>
  <si>
    <t>7017291311</t>
  </si>
  <si>
    <t>общество с ограниченной ответственностью "Колос-С"</t>
  </si>
  <si>
    <t>7017318531</t>
  </si>
  <si>
    <t>общество с ограниченной ответственностью "ЭнергоТЭК"</t>
  </si>
  <si>
    <t>7017323595</t>
  </si>
  <si>
    <t>общество с ограниченной ответственностью "Тепловая компания "Стандарт"</t>
  </si>
  <si>
    <t>7017326170</t>
  </si>
  <si>
    <t>общество с ограниченной ответственностью "Аргентум"</t>
  </si>
  <si>
    <t>7017351521</t>
  </si>
  <si>
    <t>7017373035</t>
  </si>
  <si>
    <t>общество с ограниченной ответственностью "Энергогарант"</t>
  </si>
  <si>
    <t>7017373959</t>
  </si>
  <si>
    <t>акционерное общество "Томская генерация"</t>
  </si>
  <si>
    <t>7017374014</t>
  </si>
  <si>
    <t>общество с ограниченной ответсвенностью "Городские очистные сооружения"</t>
  </si>
  <si>
    <t>7020008610</t>
  </si>
  <si>
    <t>702001001</t>
  </si>
  <si>
    <t>открытое акционерное общество Финансово-строительная компания "Газ Химстрой Инвест"</t>
  </si>
  <si>
    <t>7020035798</t>
  </si>
  <si>
    <t>федеральное казенное учреждение "Исправительная колония № 3 Управления Федеральной службы исполнения наказаний по Томской области"</t>
  </si>
  <si>
    <t>7021001569</t>
  </si>
  <si>
    <t>федеральное государственное унитарное предприятие "Комбинат коммунальных предприятий Томского научного центра  Сибирского отделения Российской академии наук"</t>
  </si>
  <si>
    <t>7022000310</t>
  </si>
  <si>
    <t>997150001</t>
  </si>
  <si>
    <t>открытое акционерное общество "Томскнефть" Восточной Нефтяной Компании</t>
  </si>
  <si>
    <t>7022010478</t>
  </si>
  <si>
    <t>702201001</t>
  </si>
  <si>
    <t>муниципальное унитарное предприятие "Жилкомсервис" Александровского сельского поселения</t>
  </si>
  <si>
    <t>7022010799</t>
  </si>
  <si>
    <t>общество с ограниченной ответственностью "Энергонефть Томск"</t>
  </si>
  <si>
    <t>7022011087</t>
  </si>
  <si>
    <t>общество с ограниченной ответственностью "Стрежевой теплоэнергоснабжение"</t>
  </si>
  <si>
    <t>7022014835</t>
  </si>
  <si>
    <t>муниципальное унитарное предприятие "Комсервис" Лукашкин-Ярского сельского поселения Александровского района Томской области</t>
  </si>
  <si>
    <t>7022014842</t>
  </si>
  <si>
    <t>муниципальное унитарное предприятие "Жилищно-коммунальное хозяйство" села  Назино</t>
  </si>
  <si>
    <t>7022014874</t>
  </si>
  <si>
    <t>муниципальное унитарное предприятие "Комсервис" Александровского района Томской области</t>
  </si>
  <si>
    <t>7022017561</t>
  </si>
  <si>
    <t>общество с ограниченной ответственностью "Транспортные коммунальные системы"</t>
  </si>
  <si>
    <t>7022018300</t>
  </si>
  <si>
    <t>общество с ограниченной ответственностью "Жилстрой"</t>
  </si>
  <si>
    <t>7022019336</t>
  </si>
  <si>
    <t>общество с ограниченной ответственностью "ТРАНССИБ"</t>
  </si>
  <si>
    <t>702280350128</t>
  </si>
  <si>
    <t>индивидуальный предприниматель Голованов Андрей Николаевич</t>
  </si>
  <si>
    <t>7023005209</t>
  </si>
  <si>
    <t>702301001</t>
  </si>
  <si>
    <t>общество с ограниченной ответственностью "Северная Тепловая Компания"</t>
  </si>
  <si>
    <t>7024021972</t>
  </si>
  <si>
    <t>общество с ограниченной ответственностью "Экополис"</t>
  </si>
  <si>
    <t>7024024853</t>
  </si>
  <si>
    <t>702401001</t>
  </si>
  <si>
    <t>открытое акционерное общество "Северский водоканал"</t>
  </si>
  <si>
    <t>7024024860</t>
  </si>
  <si>
    <t>открытое акционерное общество "Тепловые сети"</t>
  </si>
  <si>
    <t>7024028054</t>
  </si>
  <si>
    <t>общество с ограниченной ответственностью "Полигон твердых бытовых отходов комбината благоустройства"</t>
  </si>
  <si>
    <t>7024029499</t>
  </si>
  <si>
    <t>акционерное общество "Сибирский химический комбинат"</t>
  </si>
  <si>
    <t>7024032100</t>
  </si>
  <si>
    <t>общество с ограниченной ответственностью "ВКХ"</t>
  </si>
  <si>
    <t>7024033488</t>
  </si>
  <si>
    <t>общество с ограниченной ответственностью "Управление энергоснабжения"</t>
  </si>
  <si>
    <t>7024037595</t>
  </si>
  <si>
    <t>общество с ограниченной ответственностью "Северские энергетические сети"</t>
  </si>
  <si>
    <t>7024038704</t>
  </si>
  <si>
    <t>общество с ограниченной ответственностью "Тепло плюс"</t>
  </si>
  <si>
    <t>7024038863</t>
  </si>
  <si>
    <t>общество с ограниченной ответственностью "ВКХ "Самусь"</t>
  </si>
  <si>
    <t>7224031400</t>
  </si>
  <si>
    <t>закрытое акционерное общество "Сибирская Аграрная Группа Мясопереработка"</t>
  </si>
  <si>
    <t>7224067981</t>
  </si>
  <si>
    <t>722401001</t>
  </si>
  <si>
    <t>общество с ограниченной ответственностью "Промпереработка"</t>
  </si>
  <si>
    <t>7708503727</t>
  </si>
  <si>
    <t>540775040</t>
  </si>
  <si>
    <t>Кузбасский территорильный  участокЗападно-Сибирской дирекции по тепловодоснабжению - структурного подразделения Центральной дирекции по тепловодоснабжению-филиал ОАО "РЖД"</t>
  </si>
  <si>
    <t>7722292838</t>
  </si>
  <si>
    <t>701702001</t>
  </si>
  <si>
    <t>федеральное государственное унитарное предприятие "Научно-производственное объединение по медицинским иммунобиологическим препаратам "Микроген" Министерства здравоохранения Российской Федерации</t>
  </si>
  <si>
    <t>Период регулирования</t>
  </si>
  <si>
    <t>2016-2018</t>
  </si>
  <si>
    <t>2017-2019</t>
  </si>
  <si>
    <t>01.01.2016-30.06.2016</t>
  </si>
  <si>
    <t>01.01.2016-31.12.2016</t>
  </si>
  <si>
    <t>01.07.2017-31.12.2017</t>
  </si>
  <si>
    <t>Имущество, переданное по договору аренды (концессионному соглашению) и (или) принадлежащее на праве собственности</t>
  </si>
  <si>
    <t>Количество оборудования, находящегося  одновременно в работе</t>
  </si>
  <si>
    <t>Наличие прибора учета воды</t>
  </si>
  <si>
    <t>Наличие прибора учета электроэнергии</t>
  </si>
  <si>
    <t>Артезианские скважины</t>
  </si>
  <si>
    <t>Водонапорные башни</t>
  </si>
  <si>
    <t>Водоочистные сооружения</t>
  </si>
  <si>
    <t>период регулирования, год</t>
  </si>
  <si>
    <t>факт организации</t>
  </si>
  <si>
    <t>план эксперта</t>
  </si>
  <si>
    <t>диаметр до 50 мм</t>
  </si>
  <si>
    <t>диаметр  от 50 до 100 мм</t>
  </si>
  <si>
    <t>диаметр  от 100 до 150 мм</t>
  </si>
  <si>
    <t>диаметр  от 150 до 200 мм</t>
  </si>
  <si>
    <t>диаметр  от 200 до 300 мм</t>
  </si>
  <si>
    <t>диаметр  от 300 до 400 мм</t>
  </si>
  <si>
    <t>диаметр  от 400 до 500 мм</t>
  </si>
  <si>
    <t>диаметр  от 500 до 600 мм</t>
  </si>
  <si>
    <t>диаметр  от 600 до 700 мм</t>
  </si>
  <si>
    <t>диаметр  от 700 до 800 мм</t>
  </si>
  <si>
    <t>диаметр от 800 до 900  мм</t>
  </si>
  <si>
    <t>диаметр  от 900 до 1000 мм</t>
  </si>
  <si>
    <t>диаметр  от 1000 до 1200 мм</t>
  </si>
  <si>
    <t>диаметр  свыше  1200 мм</t>
  </si>
  <si>
    <t>утв.план</t>
  </si>
  <si>
    <t>факт на 31.12.2016</t>
  </si>
  <si>
    <t>факт на 31.12.2016 г</t>
  </si>
  <si>
    <t>план (утв)</t>
  </si>
  <si>
    <t>план (утв.)</t>
  </si>
  <si>
    <t xml:space="preserve">Протяженность сетей </t>
  </si>
  <si>
    <t>на 01.01.2016</t>
  </si>
  <si>
    <t>на 31.12.2016</t>
  </si>
  <si>
    <t>среднее значение за год</t>
  </si>
  <si>
    <t>план на 2017 год</t>
  </si>
  <si>
    <t>план на 2018 год</t>
  </si>
  <si>
    <t>изменение за год</t>
  </si>
  <si>
    <t xml:space="preserve">величина, утвержденная в Приложении 2 к приказу  "Об утверждении производственной программы, установлении долгосрочных параметров регулирования и тарифов" </t>
  </si>
  <si>
    <t>изменение за год, %</t>
  </si>
  <si>
    <t>собственные нужды</t>
  </si>
  <si>
    <t>наименование организации</t>
  </si>
  <si>
    <t>в т.ч. 2016 по ПУ*</t>
  </si>
  <si>
    <t>*ПУ - полезный отпуск по приборам учета</t>
  </si>
  <si>
    <t>Всего</t>
  </si>
  <si>
    <t>Итого отпуск в сеть</t>
  </si>
  <si>
    <t>Объем доочищенной воды</t>
  </si>
  <si>
    <t>проверить данные организации!</t>
  </si>
  <si>
    <t xml:space="preserve">Применяемый дефлятор на 2018 год к 2016 году </t>
  </si>
  <si>
    <t>Расчет плановых тарифов на 2018 год</t>
  </si>
  <si>
    <t>1-й год</t>
  </si>
  <si>
    <t>2-й год</t>
  </si>
  <si>
    <t>3-й год</t>
  </si>
  <si>
    <t>если второй год ДП- ПП2017, если третий год ДП - ПП базового периода</t>
  </si>
  <si>
    <t>проверка:</t>
  </si>
  <si>
    <t>Расчет плановых тарифов и стоимости электроэнергии на 2018 год</t>
  </si>
  <si>
    <t>3.1.1.</t>
  </si>
  <si>
    <t>3.1.3.</t>
  </si>
  <si>
    <t>3.1.4.</t>
  </si>
  <si>
    <t>3.1.5.</t>
  </si>
  <si>
    <t>3.2.2.</t>
  </si>
  <si>
    <t>3.2.3.</t>
  </si>
  <si>
    <t>3.2.4.</t>
  </si>
  <si>
    <t>3.2.5.</t>
  </si>
  <si>
    <t>утверждено на 2017 год</t>
  </si>
  <si>
    <t>план 2017 г</t>
  </si>
  <si>
    <t>предложениепо корректировке</t>
  </si>
  <si>
    <t>Расчет эксперта</t>
  </si>
  <si>
    <t>Расчет организации</t>
  </si>
  <si>
    <t>Расчет эксперта по изменению протяженности водопроводных сетей за 2016 год</t>
  </si>
  <si>
    <t>Расчет организации по изменению протяженности водопроводных сетей за 2016 год</t>
  </si>
  <si>
    <t>Расчет эксперта по изменению протяженности водопроводных сетей на 2018 год</t>
  </si>
  <si>
    <t>Расчет организации по изменению протяженности водопроводных сетей на 2018 год</t>
  </si>
  <si>
    <t>Расчет экспертом объема и стоимости потребленной электроэнергии и мощности</t>
  </si>
  <si>
    <t>2018 год предложение эксперта</t>
  </si>
  <si>
    <t>Материалы , в том числе:</t>
  </si>
  <si>
    <t>закупка заполнителей фильтров (песок, гравий и пр.)</t>
  </si>
  <si>
    <t>Расходы на энергетические ресурсы</t>
  </si>
  <si>
    <t>Расходы на электроэнергию, в том числе</t>
  </si>
  <si>
    <t xml:space="preserve">                      по показаниям счетчика </t>
  </si>
  <si>
    <t xml:space="preserve">                      за заявленную мощность </t>
  </si>
  <si>
    <t xml:space="preserve">Расходы на тепловую энергию </t>
  </si>
  <si>
    <t>Расходы воды на хозбытовые нужды</t>
  </si>
  <si>
    <t>Расходы на услуги по водоотведению для хозбытовых нужд</t>
  </si>
  <si>
    <t xml:space="preserve">                      технического качества</t>
  </si>
  <si>
    <t xml:space="preserve">                      в том числе: покупка потерь</t>
  </si>
  <si>
    <t xml:space="preserve">                      питьевого качества </t>
  </si>
  <si>
    <t>Услуги, оказываемые сторонними организациями</t>
  </si>
  <si>
    <t>Услуги по подъему воды, оказываемые сторонними       организациями</t>
  </si>
  <si>
    <t>Услуги по очистке воды, оказываемые сторонними организациями</t>
  </si>
  <si>
    <t>Услуги  по транспортированию воды, оказываемые сторонними организациями, всего</t>
  </si>
  <si>
    <t xml:space="preserve">                  в том числе:    услуги по транспортированию неочищенной воды, оказываемые сторонними организациями</t>
  </si>
  <si>
    <t xml:space="preserve">                  услуги  по транспортированию очищенной воды, оказываемые сторонними организациями               </t>
  </si>
  <si>
    <t>Расходы на оплату труда</t>
  </si>
  <si>
    <t>Численность по регулируемому виду деятельности, чел</t>
  </si>
  <si>
    <t xml:space="preserve">   Услуги вспомогательных производств</t>
  </si>
  <si>
    <t xml:space="preserve">       Расходы на оплату труда, относимую на регулируемый вид деятельности</t>
  </si>
  <si>
    <t xml:space="preserve">       Численность, относимая на регулируемый вид деятельности, чел</t>
  </si>
  <si>
    <t>5.1.1.4.</t>
  </si>
  <si>
    <t xml:space="preserve">        Отчисления на социальные нужды от расходов на оплату труда</t>
  </si>
  <si>
    <t>5.1.1.5.</t>
  </si>
  <si>
    <t xml:space="preserve">       Прочие расходы</t>
  </si>
  <si>
    <t xml:space="preserve">   Транспортные расходы</t>
  </si>
  <si>
    <t>5.1.2.4.</t>
  </si>
  <si>
    <t xml:space="preserve">       Отчисления на социальные нужды от расходов на оплату труда</t>
  </si>
  <si>
    <t>5.1.2.5.</t>
  </si>
  <si>
    <t xml:space="preserve">   Цеховые расходы</t>
  </si>
  <si>
    <t xml:space="preserve">        Численность, относимая на регулируемый вид деятельности, чел</t>
  </si>
  <si>
    <t>5.1.3.4.</t>
  </si>
  <si>
    <t xml:space="preserve">         Отчисления на социальные нужды от расходов на оплату труда</t>
  </si>
  <si>
    <t>5.1.3.5.</t>
  </si>
  <si>
    <t xml:space="preserve">        Прочие расходы</t>
  </si>
  <si>
    <t xml:space="preserve">    Общепроизводственные расходы</t>
  </si>
  <si>
    <t xml:space="preserve">         Расходы на оплату труда, относимую на регулируемый вид деятельности</t>
  </si>
  <si>
    <t>5.1.4.4.</t>
  </si>
  <si>
    <t>5.1.4.5.</t>
  </si>
  <si>
    <t>охрана труда всего, в том числе:</t>
  </si>
  <si>
    <t>страхование персонала</t>
  </si>
  <si>
    <t>расходы на льготный проезд</t>
  </si>
  <si>
    <t>расходы на содержание зданий (за исключением расходов на энергетические ресурсы)</t>
  </si>
  <si>
    <t>Текущий ремонт, в том числе:</t>
  </si>
  <si>
    <t xml:space="preserve">  затраты на ремонт хоз. способом:</t>
  </si>
  <si>
    <t xml:space="preserve">              заработная плата ремонтного персонала</t>
  </si>
  <si>
    <t xml:space="preserve">              численность</t>
  </si>
  <si>
    <t>6.1.1.1.2.</t>
  </si>
  <si>
    <t xml:space="preserve">              отчисления на соц. нужды от заработной платы                                                  ремонтного  персонала</t>
  </si>
  <si>
    <t xml:space="preserve">              материалы</t>
  </si>
  <si>
    <t xml:space="preserve">              услуги вспомогательных производств, общепроизводственные, цеховые расходы</t>
  </si>
  <si>
    <t xml:space="preserve">              транспортные расходы</t>
  </si>
  <si>
    <t xml:space="preserve">              цеховые расходы</t>
  </si>
  <si>
    <t xml:space="preserve">              общепроизводственные расходы</t>
  </si>
  <si>
    <t xml:space="preserve">  затраты на ремонт подрядным способом</t>
  </si>
  <si>
    <t>Капитальный ремонт основных средств, в том числе:</t>
  </si>
  <si>
    <t xml:space="preserve">  затраты на ремонт хоз.способом:</t>
  </si>
  <si>
    <t xml:space="preserve">            заработная плата ремонтного персонала</t>
  </si>
  <si>
    <t>6.2.1.1.1.</t>
  </si>
  <si>
    <t xml:space="preserve">            численность</t>
  </si>
  <si>
    <t>6.2.1.1.2.</t>
  </si>
  <si>
    <t xml:space="preserve">            отчисления на соц.нужды от заработной платы ремонтного персонала</t>
  </si>
  <si>
    <t xml:space="preserve">            материалы</t>
  </si>
  <si>
    <t>IY</t>
  </si>
  <si>
    <t>8.4.</t>
  </si>
  <si>
    <t>8.5.</t>
  </si>
  <si>
    <t>8.5.1.</t>
  </si>
  <si>
    <t>8.5.2.</t>
  </si>
  <si>
    <t>8.5.3.</t>
  </si>
  <si>
    <t>8.5.4.</t>
  </si>
  <si>
    <t>8.5.5.</t>
  </si>
  <si>
    <t>8.5.6.</t>
  </si>
  <si>
    <t>8.5.7.</t>
  </si>
  <si>
    <t>8.5.8.</t>
  </si>
  <si>
    <t>8.5.9.</t>
  </si>
  <si>
    <t>8.5.10.</t>
  </si>
  <si>
    <t>8.5.11.</t>
  </si>
  <si>
    <t>8.5.12.</t>
  </si>
  <si>
    <t>8.5.13.</t>
  </si>
  <si>
    <t>8.5.14.</t>
  </si>
  <si>
    <t>8.5.15.</t>
  </si>
  <si>
    <t>по договорам лизинга</t>
  </si>
  <si>
    <t>по концессионным соглашениям</t>
  </si>
  <si>
    <t>по другим договорам</t>
  </si>
  <si>
    <t>12.5.</t>
  </si>
  <si>
    <t>12.6.</t>
  </si>
  <si>
    <t>в том числе в %</t>
  </si>
  <si>
    <t>13.3.</t>
  </si>
  <si>
    <t>13.4.</t>
  </si>
  <si>
    <t>13.6.</t>
  </si>
  <si>
    <t>13.6.1.</t>
  </si>
  <si>
    <t>13.6.2.</t>
  </si>
  <si>
    <t>НЕОБХОДИМАЯ ВАЛОВАЯ ВЫРУЧКА</t>
  </si>
  <si>
    <t>Затраты на покупную электрическую энергию по одноставочному тарифу</t>
  </si>
  <si>
    <t xml:space="preserve">  средневзвешенный  тариф на электрическую энергию </t>
  </si>
  <si>
    <t xml:space="preserve">  объем электроэнергии </t>
  </si>
  <si>
    <t xml:space="preserve">низкое (0,4 и ниже) </t>
  </si>
  <si>
    <t xml:space="preserve">    тариф на электрическую энергию </t>
  </si>
  <si>
    <t xml:space="preserve">среднее  напряжение СН2 </t>
  </si>
  <si>
    <t>среднее  напряжение СН1 (35 кВ)</t>
  </si>
  <si>
    <t>высокое  напряжение  (110 кВ и выше)</t>
  </si>
  <si>
    <t>Затраты на покупную электрическую энергию по двухставочному тарифу</t>
  </si>
  <si>
    <t>Затраты на покупку мощности</t>
  </si>
  <si>
    <t xml:space="preserve">    ставка за мощность </t>
  </si>
  <si>
    <t xml:space="preserve">  объем мощности </t>
  </si>
  <si>
    <t>2.1.3.</t>
  </si>
  <si>
    <t>2.1.4.</t>
  </si>
  <si>
    <t>Затраты на покупку активной электроэнергии</t>
  </si>
  <si>
    <t>2.2.3.</t>
  </si>
  <si>
    <t>2.2.4.</t>
  </si>
  <si>
    <t>Справочно</t>
  </si>
  <si>
    <t>ТЕКУЩИЙ РЕМОНТ</t>
  </si>
  <si>
    <t>Наименование основного оборудования, вид выполняемых работ</t>
  </si>
  <si>
    <t>Расходы на преведение текущего ремонта хозспособом</t>
  </si>
  <si>
    <t>отчисления от ФОТ</t>
  </si>
  <si>
    <t>услуги вспомогательных производств, цеховые, общехозяйственные расходы</t>
  </si>
  <si>
    <t>Расходы на текущий ремонт силами подрядных организаций</t>
  </si>
  <si>
    <t>Наименование организации- подрядчика</t>
  </si>
  <si>
    <t>реквизиты договора (№ договора, дата заключения)</t>
  </si>
  <si>
    <t>КАПИТАЛЬНЫЙ РЕМОНТ</t>
  </si>
  <si>
    <t>Расходы на преведение капитального ремонта хозспособом</t>
  </si>
  <si>
    <t>Расходы на капитальный ремонт силами подрядных организаций</t>
  </si>
  <si>
    <t>Расчет затрат на покупную воду</t>
  </si>
  <si>
    <t>Стоимость покупной воды</t>
  </si>
  <si>
    <t>Объем покупной воды</t>
  </si>
  <si>
    <t>Тариф на воду</t>
  </si>
  <si>
    <t>Корректировка операционных расходов на 2018 год</t>
  </si>
  <si>
    <t>Расчет  объема и стоимости потребленной электроэнергии и мощности</t>
  </si>
  <si>
    <t>Расчет арендной платы и налога на имущество</t>
  </si>
  <si>
    <t>Расчет расходов на тепловую энергию</t>
  </si>
  <si>
    <t>Расчет расходов на эксплуатацию и ремонт объектов бесхозяйного имущества</t>
  </si>
  <si>
    <t>2017 утв.</t>
  </si>
  <si>
    <t>предложение эксперта на 2018 г</t>
  </si>
  <si>
    <t>план экперта</t>
  </si>
  <si>
    <t>Реестр неподконтрольных расходов на 2018 год</t>
  </si>
  <si>
    <t>Прочие потребители</t>
  </si>
  <si>
    <t xml:space="preserve">Всего </t>
  </si>
  <si>
    <t>Результаты деятельности за 2015 год</t>
  </si>
  <si>
    <t>утв.</t>
  </si>
  <si>
    <t>подлежит корректировке только в случае изменения утвержденной ИПР</t>
  </si>
  <si>
    <t>отклонение неподконтрольных расходов</t>
  </si>
  <si>
    <t>должен быть ноль!</t>
  </si>
  <si>
    <t>корректировка</t>
  </si>
  <si>
    <t>Необходимая валовая выручка, определенная на основе фактических значений параметров расчета и расчет тарифов на 2017 год</t>
  </si>
  <si>
    <t>Планируемое изменение объемов воды в связи с изменением нормативов в 2018 году, м3</t>
  </si>
  <si>
    <t>фактический индекс потребительских цен</t>
  </si>
  <si>
    <t>I. ПРИНИМАЕМЫЙ К РАСЧЕТУ ФАКТИЧЕСКИЙ БАЛАНС ВОДОСНАБЖЕНИЯ</t>
  </si>
  <si>
    <t>Отпущено (реализовано) воды  всего</t>
  </si>
  <si>
    <t>1-й год долгосрочного периода</t>
  </si>
  <si>
    <t>2-й год долгосрочного периода</t>
  </si>
  <si>
    <t>3-й год долгосрочного периода</t>
  </si>
  <si>
    <t>срок действия тарифов</t>
  </si>
  <si>
    <r>
      <rPr>
        <b/>
        <sz val="12"/>
        <color rgb="FFFF0000"/>
        <rFont val="Times New Roman"/>
        <family val="1"/>
        <charset val="204"/>
      </rPr>
      <t>третий</t>
    </r>
    <r>
      <rPr>
        <b/>
        <sz val="12"/>
        <rFont val="Times New Roman"/>
        <family val="1"/>
        <charset val="204"/>
      </rPr>
      <t xml:space="preserve"> год долгосрочного периода</t>
    </r>
  </si>
  <si>
    <r>
      <rPr>
        <b/>
        <sz val="12"/>
        <color rgb="FFFF0000"/>
        <rFont val="Times New Roman"/>
        <family val="1"/>
        <charset val="204"/>
      </rPr>
      <t>второй</t>
    </r>
    <r>
      <rPr>
        <b/>
        <sz val="12"/>
        <rFont val="Times New Roman"/>
        <family val="1"/>
        <charset val="204"/>
      </rPr>
      <t xml:space="preserve"> год долгосрочного периода</t>
    </r>
  </si>
  <si>
    <t xml:space="preserve">утверждены в Приложении 2 к приказу "Об утверждении производственной программы, установлении долгосрочных параметров регулирования и тарифов" </t>
  </si>
  <si>
    <t>Расход воды на хозяйственные и технологические нужды</t>
  </si>
  <si>
    <t>Поднято воды</t>
  </si>
  <si>
    <t>Итого расход электроэнергии</t>
  </si>
  <si>
    <t>Фактический тариф на электроэнергию с учетом оплаты мощности</t>
  </si>
  <si>
    <t>расчет фактического тарифа на листе "РЭ"</t>
  </si>
  <si>
    <t>III. РАСХОДЫ НА ЭЛЕКТРОЭНЕРГИЮ</t>
  </si>
  <si>
    <t>II. ОПЕРАЦИОННЫЕ РАСХОДЫ</t>
  </si>
  <si>
    <t>IV.НЕПОДКОНТРОЛЬНЫЕ РАСХОДЫ</t>
  </si>
  <si>
    <t>фактические данные организации в соответствии с отчетом о выполнении ПП за 2016 год, представленным к 01.04.2017 г</t>
  </si>
  <si>
    <t>IV.</t>
  </si>
  <si>
    <t>Неподконтрольные расходы всего</t>
  </si>
  <si>
    <t xml:space="preserve">значения показателей, утвержденных в Приложении 2 к приказу  "Об утверждении производственной программы, установлении долгосрочных параметров регулирования и тарифов" </t>
  </si>
  <si>
    <t>V.АМОРТИЗАЦИЯ</t>
  </si>
  <si>
    <t>если у организации отсутствует утвержденная в установленном порядке ИПР, то сумма амортизации принимается по плану на 2016 год</t>
  </si>
  <si>
    <t>Текущие расходы</t>
  </si>
  <si>
    <t>Расходы на амортизацию основных средств</t>
  </si>
  <si>
    <t>V.</t>
  </si>
  <si>
    <t>VI.</t>
  </si>
  <si>
    <t>VI.НОРМАТИВНАЯ ПРИБЫЛЬ</t>
  </si>
  <si>
    <t>VII.НЕОБХОДИМАЯ ВАЛОВАЯ ВЫРУЧКА ЗА 2016 ГОД НА ОСНОВЕ ФАКТИЧЕСКИХ ЗНАЧЕНИЙ ПАРАМЕТРОВ РАСЧЕТА ТАРИФОВ</t>
  </si>
  <si>
    <t xml:space="preserve">для организаций, которым установлен нормативный уровень прибыли в Приложении 2 к приказу  "Об утверждении производственной программы, установлении долгосрочных параметров регулирования и тарифов" </t>
  </si>
  <si>
    <t>Прибыль</t>
  </si>
  <si>
    <t>организациям, которым в силу п.79 Основ ценообразования не устанавливается нормативный уровень прибыли, приложить расчет-обоснование с пояснительной запиской</t>
  </si>
  <si>
    <t>Величина изменения НВВ в целях сглаживания тарифов, учтенная на 2016 год</t>
  </si>
  <si>
    <t>ВСЕГО НВВ за 2016 год</t>
  </si>
  <si>
    <t>VII.</t>
  </si>
  <si>
    <t>фактическое значение показателя, принятое экспертом в отчете по выполнению ПП за 2016 год</t>
  </si>
  <si>
    <t>фактические значения показателей, принятых экспертом в отчете по выполнению ПП за 2016 год</t>
  </si>
  <si>
    <t>прочие</t>
  </si>
  <si>
    <t>затраты лаборатории без ФОТ</t>
  </si>
  <si>
    <t>7.8.</t>
  </si>
  <si>
    <t>Расходы по сомнительным долгам (для ГО)</t>
  </si>
  <si>
    <t>ВСЕГО СЕБЕСТОИМОСТЬ</t>
  </si>
  <si>
    <t>прибыль, обеспечивающая финансирование других расходов, не учитываемых  при определении налоговой бызы налога на прибыль (остающаяся в распоряжении организации)</t>
  </si>
  <si>
    <t>16.</t>
  </si>
  <si>
    <t>Товарная продукция</t>
  </si>
  <si>
    <t>17.</t>
  </si>
  <si>
    <t>Затраты на собственное потребление</t>
  </si>
  <si>
    <t>18.</t>
  </si>
  <si>
    <t xml:space="preserve">Отпущено воды всего, м3, в том числе: </t>
  </si>
  <si>
    <t>18.1.</t>
  </si>
  <si>
    <t>на собственное потребление</t>
  </si>
  <si>
    <t>18.2.</t>
  </si>
  <si>
    <t>сторонним потребителям</t>
  </si>
  <si>
    <t>X</t>
  </si>
  <si>
    <r>
      <t>Цена (тариф) на холодную воду, руб./м</t>
    </r>
    <r>
      <rPr>
        <b/>
        <vertAlign val="superscript"/>
        <sz val="12"/>
        <rFont val="Times New Roman"/>
        <family val="1"/>
        <charset val="204"/>
      </rPr>
      <t>3</t>
    </r>
  </si>
  <si>
    <t>оформленное имущество</t>
  </si>
  <si>
    <t>бесхоз</t>
  </si>
  <si>
    <t>Расчет стоимости покупной воды</t>
  </si>
  <si>
    <t>наименование категории потребителей</t>
  </si>
  <si>
    <t>объемы водоснабжения на 2018 год</t>
  </si>
  <si>
    <t>величина на 20018 год</t>
  </si>
  <si>
    <t>Наименование поставщика воды</t>
  </si>
  <si>
    <t>Объем покупки воды</t>
  </si>
  <si>
    <t>Фактический среднегодовой тариф на покупную воду</t>
  </si>
  <si>
    <t>Расчет налога на прибыль/ налога при применении УСН</t>
  </si>
  <si>
    <t>Себестоимость</t>
  </si>
  <si>
    <t>Себестоимость на сторонних потребителей</t>
  </si>
  <si>
    <t>Минимальный размер товарной продукции</t>
  </si>
  <si>
    <t>Минимальный налог УСН</t>
  </si>
  <si>
    <t>нормативная прибыль</t>
  </si>
  <si>
    <t>Расчет корректировки НВВ с целью учета отклонения фактических значений параметров расчета тарифов от значений, учтенных при установлении тарифов на 2016 год</t>
  </si>
  <si>
    <t>VIII. РАСЧЕТ КОРРЕКТИРОВКИ НВВ С ЦЕЛЬЮ УЧЕТА ОТКЛОНЕНИЯ ФАКТИЧЕСКИХ ЗНАЧЕНИЙ ПАРАМЕТРОВ РАСЧЕТА ТАРИФОВ ОТ ЗНАЧЕНИЙ, УЧТЕННЫХ ПРИ УСТАНОВЛЕНИИ ТАРИФОВ</t>
  </si>
  <si>
    <t>НВВ на основе фактических значений параметров расчета</t>
  </si>
  <si>
    <t>Фактическая выручка организации за 2016 год</t>
  </si>
  <si>
    <t>фактические данные организации в соответствии с отчетом о выполнении ПП за 2016 год, представленным к 01.04.2017 г с учетом реализации собственных нужд</t>
  </si>
  <si>
    <t>Размер корректировки НВВ с целью учета отклонения фактических значений параметров расчета тарифов от плановых</t>
  </si>
  <si>
    <t>VIII.</t>
  </si>
  <si>
    <t>Расчет корректировки НВВ по реализации производственной программы при недостижении утвержденных показателей качества и надежности объектов централизованных систем водоснабжения</t>
  </si>
  <si>
    <t>значение показателя за 2016 год</t>
  </si>
  <si>
    <t>весовой коэффициент показателя*</t>
  </si>
  <si>
    <t>Агрегированный показатель качества и надежности</t>
  </si>
  <si>
    <t>Плановая необходимая валовая выручка, установленная на 2016 год</t>
  </si>
  <si>
    <r>
      <t xml:space="preserve">ИПЦ </t>
    </r>
    <r>
      <rPr>
        <vertAlign val="subscript"/>
        <sz val="12"/>
        <rFont val="Times New Roman"/>
        <family val="1"/>
        <charset val="204"/>
      </rPr>
      <t>2017/2016 году</t>
    </r>
  </si>
  <si>
    <r>
      <t xml:space="preserve">ИПЦ </t>
    </r>
    <r>
      <rPr>
        <vertAlign val="subscript"/>
        <sz val="12"/>
        <rFont val="Times New Roman"/>
        <family val="1"/>
        <charset val="204"/>
      </rPr>
      <t>2018/2017 году</t>
    </r>
  </si>
  <si>
    <t>Итого корректировка НВВ по реализации производственной программы при недостижении утвержденных показателей качества и надежности объектов централизованных систем водоснабжения</t>
  </si>
  <si>
    <t xml:space="preserve">Расчет корректировки НВВ в связи с изменением (неисполнением) инвестиционной программы
</t>
  </si>
  <si>
    <t>Объем собственных средств на реализацию инвестиционной программы</t>
  </si>
  <si>
    <t>Амортизационные отчисления</t>
  </si>
  <si>
    <t>Объем ввода объектов системы водоснабжения согласно утвержденной инвестиционной программе</t>
  </si>
  <si>
    <t>приложить расчет-обоснование, бухгалтерские регистры с пояснительной запиской</t>
  </si>
  <si>
    <t>приложить расчет-обоснование, бухгалтерские регистры  с пояснительной запиской</t>
  </si>
  <si>
    <t>Итого корректировка НВВ по исполнению производственной программы</t>
  </si>
  <si>
    <t>плановые источники ИПР согласно приказу ДТР ТО</t>
  </si>
  <si>
    <t>индекс потребительских цен на 2018 год</t>
  </si>
  <si>
    <t>V. Плановые значения показателей надежности, качества и энергетической эффективности объектов централизованных систем водоснабжения и динамика изменения плановых значений</t>
  </si>
  <si>
    <t>динамика изменения плановых значений</t>
  </si>
  <si>
    <t>x</t>
  </si>
  <si>
    <r>
      <rPr>
        <u/>
        <sz val="10"/>
        <rFont val="Times New Roman"/>
        <family val="1"/>
        <charset val="204"/>
      </rPr>
      <t>кВт.ч</t>
    </r>
    <r>
      <rPr>
        <sz val="10"/>
        <rFont val="Times New Roman"/>
        <family val="1"/>
        <charset val="204"/>
      </rPr>
      <t xml:space="preserve">  куб.м</t>
    </r>
  </si>
  <si>
    <r>
      <rPr>
        <u/>
        <sz val="10"/>
        <rFont val="Times New Roman"/>
        <family val="1"/>
        <charset val="204"/>
      </rPr>
      <t xml:space="preserve">кВт.ч </t>
    </r>
    <r>
      <rPr>
        <sz val="10"/>
        <rFont val="Times New Roman"/>
        <family val="1"/>
        <charset val="204"/>
      </rPr>
      <t xml:space="preserve"> куб.м</t>
    </r>
  </si>
  <si>
    <t>если второй год ДП- ПП2017-2019, если третий год ДП - ПП2016-2018</t>
  </si>
  <si>
    <t>в том числе капитальные вложения</t>
  </si>
  <si>
    <t>выплаты социального характера</t>
  </si>
  <si>
    <t>приложить расчет-обоснование</t>
  </si>
  <si>
    <t>I. Расчет нормативной прибыли при отсутствии корректировки ИПР и утвержденном показателе "Уровень нормативной прибыли"</t>
  </si>
  <si>
    <t>II. Расчет нормативной прибыли при отсутствии корректировки ИПР и утвержденном показателе "Уровень нормативной прибыли"</t>
  </si>
  <si>
    <t>III. Расчет нормативной прибыли при отсутствии корректировки ИПР и при отсутствии утвержденного показателя  "Уровень нормативной прибыли"</t>
  </si>
  <si>
    <t>Нормативная прибыль на 2018 год</t>
  </si>
  <si>
    <t>один из вариантов I., II., III.</t>
  </si>
  <si>
    <t>сделать ссылку на лист НП</t>
  </si>
  <si>
    <t>Корректировка НВВ с целью учета отклонения фактических значений параметров расчета тарифов от значений, учтенных при установлении тарифов на 2016 год</t>
  </si>
  <si>
    <t>Корректировка НВВ по реализации производственной программы при недостижении утвержденных показателей качества и надежности объектов централизованных систем водоснабжения</t>
  </si>
  <si>
    <t>Корректировка НВВ в связи с изменением (неисполнением) инвестиционной программы</t>
  </si>
  <si>
    <t>Операционные расходы 2017 года</t>
  </si>
  <si>
    <t>Результаты деятельности за 2016 год (для второго года ДП)</t>
  </si>
  <si>
    <t>ПО</t>
  </si>
  <si>
    <t>смета расходов</t>
  </si>
  <si>
    <t>за 2016 год</t>
  </si>
  <si>
    <t>в т.ч. в 2018 год</t>
  </si>
  <si>
    <t>в т.ч. в 2019 год</t>
  </si>
  <si>
    <t>Выпадающие для 2 года ДП</t>
  </si>
  <si>
    <t xml:space="preserve">план организации </t>
  </si>
  <si>
    <t>Размер операционных расходов, утвержденный на 2017 год</t>
  </si>
  <si>
    <t xml:space="preserve">утвержден в Приложении 2 к приказу ДТР ТО "Об утверждении производственной программы, установлении долгосрочных параметров регулирования и тарифов" </t>
  </si>
  <si>
    <t>план эксперта ДТР ТО</t>
  </si>
  <si>
    <t>IX</t>
  </si>
  <si>
    <t>XIV</t>
  </si>
  <si>
    <t>дата публикации приказа  1</t>
  </si>
  <si>
    <t>№ приказа 1</t>
  </si>
  <si>
    <t>ремонт1</t>
  </si>
  <si>
    <t>ремонт 2</t>
  </si>
  <si>
    <t>ремонт 3</t>
  </si>
  <si>
    <t>ПО 1</t>
  </si>
  <si>
    <t>ПО 2</t>
  </si>
  <si>
    <t>ПО 3</t>
  </si>
  <si>
    <t>НВВ 1</t>
  </si>
  <si>
    <t>НВВ 2</t>
  </si>
  <si>
    <t>НВВ 3</t>
  </si>
  <si>
    <t>пробыстанция 1</t>
  </si>
  <si>
    <t>пробыстанция 2</t>
  </si>
  <si>
    <t>пробыстанция 3</t>
  </si>
  <si>
    <t>dпробыстанция 2</t>
  </si>
  <si>
    <t>dпробыстанция 3</t>
  </si>
  <si>
    <t>пробысеть 1</t>
  </si>
  <si>
    <t>пробысеть 2</t>
  </si>
  <si>
    <t>пробысеть 3</t>
  </si>
  <si>
    <t>dпробысеть 2</t>
  </si>
  <si>
    <t>dпробысеть 3</t>
  </si>
  <si>
    <t>потери 1</t>
  </si>
  <si>
    <t>потери 2</t>
  </si>
  <si>
    <t>потери 3</t>
  </si>
  <si>
    <t>dпотери 2</t>
  </si>
  <si>
    <t>dпотери 3</t>
  </si>
  <si>
    <t>удээподг 1</t>
  </si>
  <si>
    <t>удээподг 2</t>
  </si>
  <si>
    <t>удээподг 3</t>
  </si>
  <si>
    <t>dудээподг 2</t>
  </si>
  <si>
    <t>dудээподг 3</t>
  </si>
  <si>
    <t>удээтрансп 1</t>
  </si>
  <si>
    <t>удээтрансп 2</t>
  </si>
  <si>
    <t>удээтрансп 3</t>
  </si>
  <si>
    <t>dудээтрансп 2</t>
  </si>
  <si>
    <t>dудээтрансп 3</t>
  </si>
  <si>
    <t>тариф 1-1</t>
  </si>
  <si>
    <t>тариф 1-2</t>
  </si>
  <si>
    <t>тариф 1-1 нас</t>
  </si>
  <si>
    <t>тариф 1-2 нас</t>
  </si>
  <si>
    <t>тариф 2-1</t>
  </si>
  <si>
    <t>тариф 2-2</t>
  </si>
  <si>
    <t>тариф 2-1 нас</t>
  </si>
  <si>
    <t>тариф 2-2 нас</t>
  </si>
  <si>
    <t>тариф 3-1</t>
  </si>
  <si>
    <t>тариф 3-2</t>
  </si>
  <si>
    <t>тариф 3-1 нас</t>
  </si>
  <si>
    <t>тариф 3-2 нас</t>
  </si>
  <si>
    <t>Операционные расходы на 2018 год</t>
  </si>
  <si>
    <t>дата приказа 1</t>
  </si>
  <si>
    <t>1 год</t>
  </si>
  <si>
    <t>2 год</t>
  </si>
  <si>
    <t>3 год</t>
  </si>
  <si>
    <t>дата нач рп</t>
  </si>
  <si>
    <t>фактические данные в соответствии с отчетом о выполнении ПП за 2016 год, представленным к 01.04.2017 г</t>
  </si>
  <si>
    <t>выбрать максимум: расчетная выручка из анализа выпадающих расходов по полезному отпуску или по расшифровке 2 формы</t>
  </si>
  <si>
    <t>расход электроэнергии в приказе 1</t>
  </si>
  <si>
    <t>аварии 1</t>
  </si>
  <si>
    <t>аварии 2</t>
  </si>
  <si>
    <t>аварии 3</t>
  </si>
  <si>
    <t>dавария 2</t>
  </si>
  <si>
    <t>dавария 3</t>
  </si>
  <si>
    <t xml:space="preserve">утв. </t>
  </si>
  <si>
    <t>* Весовой коэффициент показателя определяется в соответствии с приказом Департамента тарифного регулирования Томской области от 31.03.2017 года № 4-62</t>
  </si>
  <si>
    <r>
      <t xml:space="preserve">Расчет экспертом корректировки </t>
    </r>
    <r>
      <rPr>
        <b/>
        <sz val="12"/>
        <color rgb="FFFF0000"/>
        <rFont val="Times New Roman"/>
        <family val="1"/>
        <charset val="204"/>
      </rPr>
      <t/>
    </r>
  </si>
  <si>
    <t>для второго года долгосрочного периода - "Базовый уровень операционных расходов", утвержденный в Приложении 2 к приказу "Об утверждении производственной программы, установлении долгосрочных параметров регулирования и тарифов" , для третьего года - в расчете НВВ, направленном организации  на согласование</t>
  </si>
  <si>
    <t>Вличина сглаживания НВВ, учтенная при утверждении тарифов на 2018 год</t>
  </si>
  <si>
    <t>ВСЕГО плановый полезный отпуск на 2018 год</t>
  </si>
  <si>
    <t>величина на 2018 год</t>
  </si>
  <si>
    <t>не является плательщиком налога</t>
  </si>
  <si>
    <t>ИЛИ</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</si>
</sst>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64" formatCode="_-* #,##0.00&quot;р.&quot;_-;\-* #,##0.00&quot;р.&quot;_-;_-* &quot;-&quot;??&quot;р.&quot;_-;_-@_-"/>
    <numFmt numFmtId="165" formatCode="_-* #,##0.00_р_._-;\-* #,##0.00_р_._-;_-* &quot;-&quot;??_р_._-;_-@_-"/>
    <numFmt numFmtId="166" formatCode="0.0%"/>
    <numFmt numFmtId="167" formatCode="0.0%_);\(0.0%\)"/>
    <numFmt numFmtId="168" formatCode="#,##0_);[Red]\(#,##0\)"/>
    <numFmt numFmtId="169" formatCode="#.##0\.00"/>
    <numFmt numFmtId="170" formatCode="#\.00"/>
    <numFmt numFmtId="171" formatCode="\$#\.00"/>
    <numFmt numFmtId="172" formatCode="#\."/>
    <numFmt numFmtId="173" formatCode="General_)"/>
    <numFmt numFmtId="174" formatCode="_-* #,##0&quot;đ.&quot;_-;\-* #,##0&quot;đ.&quot;_-;_-* &quot;-&quot;&quot;đ.&quot;_-;_-@_-"/>
    <numFmt numFmtId="175" formatCode="_-* #,##0.00&quot;đ.&quot;_-;\-* #,##0.00&quot;đ.&quot;_-;_-* &quot;-&quot;??&quot;đ.&quot;_-;_-@_-"/>
    <numFmt numFmtId="176" formatCode="_-* #,##0_-;\-* #,##0_-;_-* &quot;-&quot;_-;_-@_-"/>
    <numFmt numFmtId="177" formatCode="_-* #,##0.00_-;\-* #,##0.00_-;_-* &quot;-&quot;??_-;_-@_-"/>
    <numFmt numFmtId="178" formatCode="&quot;$&quot;#,##0_);[Red]\(&quot;$&quot;#,##0\)"/>
    <numFmt numFmtId="179" formatCode="\$#,##0\ ;\(\$#,##0\)"/>
    <numFmt numFmtId="180" formatCode="_-* #,##0.00[$€-1]_-;\-* #,##0.00[$€-1]_-;_-* &quot;-&quot;??[$€-1]_-"/>
    <numFmt numFmtId="181" formatCode="0.0"/>
    <numFmt numFmtId="182" formatCode="#,##0_);[Blue]\(#,##0\)"/>
    <numFmt numFmtId="183" formatCode="_-&quot;£&quot;* #,##0_-;\-&quot;£&quot;* #,##0_-;_-&quot;£&quot;* &quot;-&quot;_-;_-@_-"/>
    <numFmt numFmtId="184" formatCode="_-* #,##0_đ_._-;\-* #,##0_đ_._-;_-* &quot;-&quot;_đ_._-;_-@_-"/>
    <numFmt numFmtId="185" formatCode="_-* #,##0.00_đ_._-;\-* #,##0.00_đ_._-;_-* &quot;-&quot;??_đ_._-;_-@_-"/>
    <numFmt numFmtId="186" formatCode="#,##0.00_ ;[Red]\-#,##0.00\ "/>
    <numFmt numFmtId="187" formatCode="#,##0.000"/>
    <numFmt numFmtId="188" formatCode="0.000"/>
    <numFmt numFmtId="189" formatCode="_-* #,##0\ _р_._-;\-* #,##0\ _р_._-;_-* &quot;-&quot;\ _р_._-;_-@_-"/>
    <numFmt numFmtId="190" formatCode="_-* #,##0.00\ _р_._-;\-* #,##0.00\ _р_._-;_-* &quot;-&quot;??\ _р_._-;_-@_-"/>
    <numFmt numFmtId="191" formatCode="#,##0.0"/>
    <numFmt numFmtId="192" formatCode="%#\.00"/>
    <numFmt numFmtId="193" formatCode="#,###,##0.00"/>
    <numFmt numFmtId="194" formatCode="#,###,##0"/>
    <numFmt numFmtId="195" formatCode="dd/mm/yy;@"/>
    <numFmt numFmtId="196" formatCode="#,##0.0000"/>
    <numFmt numFmtId="197" formatCode="0.0000000"/>
    <numFmt numFmtId="198" formatCode="#,##0.000000"/>
    <numFmt numFmtId="199" formatCode="#,##0.00000"/>
    <numFmt numFmtId="200" formatCode="dd\-mmm\-yy"/>
    <numFmt numFmtId="201" formatCode="_-* #,##0\ &quot;руб&quot;_-;\-* #,##0\ &quot;руб&quot;_-;_-* &quot;-&quot;\ &quot;руб&quot;_-;_-@_-"/>
    <numFmt numFmtId="202" formatCode="mmmm\ d\,\ yyyy"/>
    <numFmt numFmtId="203" formatCode="&quot;?.&quot;#,##0_);[Red]\(&quot;?.&quot;#,##0\)"/>
    <numFmt numFmtId="204" formatCode="&quot;?.&quot;#,##0.00_);[Red]\(&quot;?.&quot;#,##0.00\)"/>
    <numFmt numFmtId="205" formatCode="_-* #,##0\ _F_-;\-* #,##0\ _F_-;_-* &quot;-&quot;\ _F_-;_-@_-"/>
    <numFmt numFmtId="206" formatCode="_-* #,##0.00\ _F_-;\-* #,##0.00\ _F_-;_-* &quot;-&quot;??\ _F_-;_-@_-"/>
    <numFmt numFmtId="207" formatCode="_-* #,##0.00\ &quot;F&quot;_-;\-* #,##0.00\ &quot;F&quot;_-;_-* &quot;-&quot;??\ &quot;F&quot;_-;_-@_-"/>
    <numFmt numFmtId="208" formatCode="#,##0_ ;[Red]\-#,##0\ "/>
    <numFmt numFmtId="209" formatCode="_(* #,##0_);_(* \(#,##0\);_(* &quot;-&quot;??_);_(@_)"/>
    <numFmt numFmtId="210" formatCode="_(&quot;$&quot;* #,##0_);_(&quot;$&quot;* \(#,##0\);_(&quot;$&quot;* &quot;-&quot;_);_(@_)"/>
    <numFmt numFmtId="211" formatCode="_(&quot;$&quot;* #,##0.00_);_(&quot;$&quot;* \(#,##0.00\);_(&quot;$&quot;* &quot;-&quot;??_);_(@_)"/>
    <numFmt numFmtId="212" formatCode="#,##0.00_);[Red]\(#,##0.00\)"/>
    <numFmt numFmtId="213" formatCode="_(* #,##0_);_(* \(#,##0\);_(* &quot;-&quot;_);_(@_)"/>
    <numFmt numFmtId="214" formatCode="#,##0.00;[Red]\-#,##0.00;&quot;-&quot;"/>
    <numFmt numFmtId="215" formatCode="#,##0;[Red]\-#,##0;&quot;-&quot;"/>
    <numFmt numFmtId="216" formatCode="_-&quot;£&quot;* #,##0.00_-;\-&quot;£&quot;* #,##0.00_-;_-&quot;£&quot;* &quot;-&quot;??_-;_-@_-"/>
    <numFmt numFmtId="217" formatCode="#,###"/>
  </numFmts>
  <fonts count="192">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0"/>
      <name val="Helv"/>
    </font>
    <font>
      <sz val="8"/>
      <name val="Arial"/>
      <family val="2"/>
      <charset val="204"/>
    </font>
    <font>
      <sz val="8"/>
      <color indexed="12"/>
      <name val="Arial"/>
      <family val="2"/>
      <charset val="204"/>
    </font>
    <font>
      <sz val="10"/>
      <name val="Helv"/>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family val="2"/>
      <charset val="204"/>
    </font>
    <font>
      <sz val="10"/>
      <color indexed="24"/>
      <name val="Arial"/>
      <family val="2"/>
      <charset val="204"/>
    </font>
    <font>
      <b/>
      <sz val="10"/>
      <color indexed="12"/>
      <name val="Arial Cyr"/>
      <family val="2"/>
      <charset val="204"/>
    </font>
    <font>
      <sz val="10"/>
      <name val="MS Sans Serif"/>
      <family val="2"/>
      <charset val="204"/>
    </font>
    <font>
      <sz val="8"/>
      <name val="Palatino"/>
      <family val="1"/>
    </font>
    <font>
      <sz val="8"/>
      <name val="Arial Cyr"/>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u/>
      <sz val="10"/>
      <color indexed="36"/>
      <name val="Arial Cyr"/>
      <charset val="204"/>
    </font>
    <font>
      <sz val="11"/>
      <color indexed="17"/>
      <name val="Calibri"/>
      <family val="2"/>
      <charset val="204"/>
    </font>
    <font>
      <b/>
      <sz val="10"/>
      <color indexed="18"/>
      <name val="Arial Cyr"/>
      <charset val="204"/>
    </font>
    <font>
      <b/>
      <sz val="18"/>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8"/>
      <name val="Arial Cyr"/>
      <charset val="204"/>
    </font>
    <font>
      <u/>
      <sz val="10"/>
      <color indexed="12"/>
      <name val="Arial Cyr"/>
      <charset val="204"/>
    </font>
    <font>
      <sz val="10"/>
      <name val="Courier"/>
      <family val="3"/>
    </font>
    <font>
      <u/>
      <sz val="10"/>
      <color indexed="36"/>
      <name val="Courier"/>
      <family val="3"/>
    </font>
    <font>
      <sz val="11"/>
      <color indexed="62"/>
      <name val="Calibri"/>
      <family val="2"/>
      <charset val="204"/>
    </font>
    <font>
      <sz val="8"/>
      <color indexed="12"/>
      <name val="Palatino"/>
      <family val="1"/>
    </font>
    <font>
      <sz val="11"/>
      <color indexed="52"/>
      <name val="Calibri"/>
      <family val="2"/>
      <charset val="204"/>
    </font>
    <font>
      <sz val="12"/>
      <name val="Gill Sans"/>
    </font>
    <font>
      <sz val="11"/>
      <color indexed="60"/>
      <name val="Calibri"/>
      <family val="2"/>
      <charset val="204"/>
    </font>
    <font>
      <sz val="12"/>
      <name val="Arial"/>
      <family val="2"/>
      <charset val="204"/>
    </font>
    <font>
      <sz val="8"/>
      <name val="Helv"/>
      <charset val="204"/>
    </font>
    <font>
      <sz val="9"/>
      <name val="Tahoma"/>
      <family val="2"/>
      <charset val="204"/>
    </font>
    <font>
      <sz val="10"/>
      <name val="Arial"/>
      <family val="2"/>
    </font>
    <font>
      <b/>
      <sz val="11"/>
      <color indexed="63"/>
      <name val="Calibri"/>
      <family val="2"/>
      <charset val="204"/>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8"/>
      <color indexed="9"/>
      <name val="Arial Cyr"/>
      <charset val="204"/>
    </font>
    <font>
      <sz val="10"/>
      <name val="Palatino"/>
      <family val="1"/>
    </font>
    <font>
      <sz val="12"/>
      <color indexed="8"/>
      <name val="Palatino"/>
      <family val="1"/>
    </font>
    <font>
      <b/>
      <sz val="18"/>
      <color indexed="56"/>
      <name val="Cambria"/>
      <family val="2"/>
      <charset val="204"/>
    </font>
    <font>
      <b/>
      <sz val="11"/>
      <color indexed="8"/>
      <name val="Calibri"/>
      <family val="2"/>
      <charset val="204"/>
    </font>
    <font>
      <sz val="11"/>
      <color indexed="10"/>
      <name val="Calibri"/>
      <family val="2"/>
      <charset val="204"/>
    </font>
    <font>
      <b/>
      <u/>
      <sz val="11"/>
      <color indexed="12"/>
      <name val="Arial"/>
      <family val="2"/>
      <charset val="204"/>
    </font>
    <font>
      <b/>
      <sz val="12"/>
      <name val="Arial Cyr"/>
      <family val="2"/>
      <charset val="204"/>
    </font>
    <font>
      <b/>
      <sz val="12"/>
      <color indexed="12"/>
      <name val="Arial Cyr"/>
      <family val="2"/>
      <charset val="204"/>
    </font>
    <font>
      <b/>
      <sz val="14"/>
      <name val="Franklin Gothic Medium"/>
      <family val="2"/>
      <charset val="204"/>
    </font>
    <font>
      <b/>
      <sz val="12"/>
      <name val="Arial"/>
      <family val="2"/>
      <charset val="204"/>
    </font>
    <font>
      <b/>
      <sz val="9"/>
      <name val="Tahoma"/>
      <family val="2"/>
      <charset val="204"/>
    </font>
    <font>
      <b/>
      <sz val="14"/>
      <name val="Arial Cyr"/>
      <family val="2"/>
      <charset val="204"/>
    </font>
    <font>
      <b/>
      <sz val="14"/>
      <name val="Arial"/>
      <family val="2"/>
      <charset val="204"/>
    </font>
    <font>
      <b/>
      <sz val="10"/>
      <name val="Arial Cyr"/>
      <charset val="204"/>
    </font>
    <font>
      <sz val="12"/>
      <name val="Arial Cyr"/>
      <family val="2"/>
      <charset val="204"/>
    </font>
    <font>
      <sz val="10"/>
      <color indexed="64"/>
      <name val="Arial"/>
      <family val="2"/>
      <charset val="204"/>
    </font>
    <font>
      <sz val="10"/>
      <name val="Times New Roman CYR"/>
      <charset val="204"/>
    </font>
    <font>
      <sz val="8"/>
      <name val="Arial"/>
      <family val="2"/>
    </font>
    <font>
      <sz val="11"/>
      <color theme="1"/>
      <name val="Times New Roman"/>
      <family val="2"/>
      <charset val="204"/>
    </font>
    <font>
      <sz val="14"/>
      <color theme="1"/>
      <name val="Calibri"/>
      <family val="2"/>
      <charset val="204"/>
      <scheme val="minor"/>
    </font>
    <font>
      <sz val="11"/>
      <name val="Times New Roman CYR"/>
      <family val="1"/>
      <charset val="204"/>
    </font>
    <font>
      <b/>
      <i/>
      <sz val="14"/>
      <color indexed="57"/>
      <name val="Arial Cyr"/>
      <family val="2"/>
      <charset val="204"/>
    </font>
    <font>
      <b/>
      <sz val="9"/>
      <name val="Times New Roman"/>
      <family val="1"/>
      <charset val="204"/>
    </font>
    <font>
      <sz val="11"/>
      <color indexed="8"/>
      <name val="Times New Roman"/>
      <family val="1"/>
      <charset val="204"/>
    </font>
    <font>
      <b/>
      <sz val="14"/>
      <name val="Times New Roman"/>
      <family val="1"/>
      <charset val="204"/>
    </font>
    <font>
      <b/>
      <sz val="11"/>
      <color indexed="10"/>
      <name val="Times New Roman"/>
      <family val="1"/>
      <charset val="204"/>
    </font>
    <font>
      <sz val="9"/>
      <name val="Times New Roman"/>
      <family val="1"/>
      <charset val="204"/>
    </font>
    <font>
      <b/>
      <sz val="12"/>
      <color rgb="FFFF0000"/>
      <name val="Times New Roman"/>
      <family val="1"/>
      <charset val="204"/>
    </font>
    <font>
      <b/>
      <sz val="9"/>
      <color rgb="FFFF0000"/>
      <name val="Times New Roman"/>
      <family val="1"/>
      <charset val="204"/>
    </font>
    <font>
      <b/>
      <sz val="11"/>
      <color rgb="FFFF0000"/>
      <name val="Times New Roman"/>
      <family val="1"/>
      <charset val="204"/>
    </font>
    <font>
      <sz val="10"/>
      <name val="Arial Cyr"/>
    </font>
    <font>
      <b/>
      <sz val="14"/>
      <color rgb="FFFF0000"/>
      <name val="Times New Roman"/>
      <family val="1"/>
      <charset val="204"/>
    </font>
    <font>
      <sz val="12"/>
      <name val="Times New Roman Cyr"/>
      <charset val="204"/>
    </font>
    <font>
      <b/>
      <sz val="16"/>
      <name val="Times New Roman"/>
      <family val="1"/>
      <charset val="204"/>
    </font>
    <font>
      <b/>
      <sz val="12"/>
      <name val="Arial CYR"/>
      <charset val="204"/>
    </font>
    <font>
      <sz val="14"/>
      <name val="Times New Roman"/>
      <family val="1"/>
      <charset val="204"/>
    </font>
    <font>
      <sz val="11"/>
      <name val="Times New Roman"/>
      <family val="1"/>
      <charset val="204"/>
    </font>
    <font>
      <b/>
      <sz val="9"/>
      <color theme="1"/>
      <name val="Times New Roman"/>
      <family val="1"/>
      <charset val="204"/>
    </font>
    <font>
      <sz val="9"/>
      <color theme="1"/>
      <name val="Times New Roman"/>
      <family val="1"/>
      <charset val="204"/>
    </font>
    <font>
      <u/>
      <sz val="12"/>
      <color theme="10"/>
      <name val="Times New Roman"/>
      <family val="1"/>
      <charset val="204"/>
    </font>
    <font>
      <b/>
      <sz val="11"/>
      <name val="Times New Roman"/>
      <family val="1"/>
      <charset val="204"/>
    </font>
    <font>
      <i/>
      <sz val="10"/>
      <name val="Times New Roman"/>
      <family val="1"/>
      <charset val="204"/>
    </font>
    <font>
      <i/>
      <sz val="12"/>
      <name val="Times New Roman"/>
      <family val="1"/>
      <charset val="204"/>
    </font>
    <font>
      <sz val="11"/>
      <color rgb="FFFF0000"/>
      <name val="Times New Roman"/>
      <family val="1"/>
      <charset val="204"/>
    </font>
    <font>
      <b/>
      <sz val="14"/>
      <color theme="1"/>
      <name val="Times New Roman"/>
      <family val="1"/>
      <charset val="204"/>
    </font>
    <font>
      <b/>
      <sz val="18"/>
      <name val="Times New Roman"/>
      <family val="1"/>
      <charset val="204"/>
    </font>
    <font>
      <sz val="14"/>
      <color theme="1"/>
      <name val="Times New Roman"/>
      <family val="1"/>
      <charset val="204"/>
    </font>
    <font>
      <b/>
      <sz val="12"/>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2"/>
      <color rgb="FFFF0000"/>
      <name val="Times New Roman"/>
      <family val="1"/>
      <charset val="204"/>
    </font>
    <font>
      <sz val="12"/>
      <color indexed="9"/>
      <name val="Times New Roman"/>
      <family val="1"/>
      <charset val="204"/>
    </font>
    <font>
      <sz val="12"/>
      <color indexed="10"/>
      <name val="Times New Roman"/>
      <family val="1"/>
      <charset val="204"/>
    </font>
    <font>
      <sz val="12"/>
      <color indexed="8"/>
      <name val="Times New Roman"/>
      <family val="1"/>
      <charset val="204"/>
    </font>
    <font>
      <b/>
      <vertAlign val="superscript"/>
      <sz val="12"/>
      <name val="Times New Roman"/>
      <family val="1"/>
      <charset val="204"/>
    </font>
    <font>
      <b/>
      <i/>
      <u/>
      <sz val="12"/>
      <color indexed="8"/>
      <name val="Times New Roman"/>
      <family val="1"/>
      <charset val="204"/>
    </font>
    <font>
      <sz val="12"/>
      <color theme="2" tint="-9.9978637043366805E-2"/>
      <name val="Times New Roman"/>
      <family val="1"/>
      <charset val="204"/>
    </font>
    <font>
      <b/>
      <sz val="12"/>
      <color indexed="8"/>
      <name val="Times New Roman"/>
      <family val="1"/>
      <charset val="204"/>
    </font>
    <font>
      <vertAlign val="superscript"/>
      <sz val="12"/>
      <name val="Times New Roman"/>
      <family val="1"/>
      <charset val="204"/>
    </font>
    <font>
      <i/>
      <sz val="12"/>
      <color rgb="FFFF0000"/>
      <name val="Times New Roman"/>
      <family val="1"/>
      <charset val="204"/>
    </font>
    <font>
      <b/>
      <sz val="12"/>
      <name val="Calibri"/>
      <family val="1"/>
      <charset val="204"/>
      <scheme val="minor"/>
    </font>
    <font>
      <sz val="12"/>
      <name val="Calibri"/>
      <family val="1"/>
      <charset val="204"/>
      <scheme val="minor"/>
    </font>
    <font>
      <b/>
      <sz val="11"/>
      <name val="Calibri"/>
      <family val="1"/>
      <charset val="204"/>
      <scheme val="minor"/>
    </font>
    <font>
      <sz val="11"/>
      <name val="Calibri"/>
      <family val="1"/>
      <charset val="204"/>
      <scheme val="minor"/>
    </font>
    <font>
      <sz val="12"/>
      <color theme="1"/>
      <name val="Times New Roman"/>
      <family val="1"/>
      <charset val="204"/>
    </font>
    <font>
      <b/>
      <sz val="11"/>
      <color theme="1"/>
      <name val="Times New Roman"/>
      <family val="1"/>
      <charset val="204"/>
    </font>
    <font>
      <b/>
      <sz val="12"/>
      <color theme="1"/>
      <name val="Calibri"/>
      <family val="1"/>
      <charset val="204"/>
      <scheme val="minor"/>
    </font>
    <font>
      <sz val="12"/>
      <color theme="1"/>
      <name val="Calibri"/>
      <family val="1"/>
      <charset val="204"/>
      <scheme val="minor"/>
    </font>
    <font>
      <b/>
      <i/>
      <sz val="12"/>
      <name val="Times New Roman"/>
      <family val="1"/>
      <charset val="204"/>
    </font>
    <font>
      <sz val="16"/>
      <name val="Calibri"/>
      <family val="1"/>
      <charset val="204"/>
      <scheme val="minor"/>
    </font>
    <font>
      <sz val="12"/>
      <name val="Calibri"/>
      <family val="2"/>
      <charset val="204"/>
      <scheme val="minor"/>
    </font>
    <font>
      <i/>
      <sz val="12"/>
      <color theme="1"/>
      <name val="Times New Roman"/>
      <family val="1"/>
      <charset val="204"/>
    </font>
    <font>
      <sz val="13"/>
      <name val="Times New Roman"/>
      <family val="1"/>
      <charset val="204"/>
    </font>
    <font>
      <sz val="10"/>
      <color rgb="FFFF0000"/>
      <name val="Times New Roman"/>
      <family val="1"/>
      <charset val="204"/>
    </font>
    <font>
      <b/>
      <sz val="12"/>
      <color rgb="FF000000"/>
      <name val="Times New Roman"/>
      <family val="1"/>
      <charset val="204"/>
    </font>
    <font>
      <sz val="12"/>
      <color rgb="FF000000"/>
      <name val="Times New Roman"/>
      <family val="1"/>
      <charset val="204"/>
    </font>
    <font>
      <sz val="8.25"/>
      <color rgb="FF000000"/>
      <name val="Times New Roman"/>
      <family val="1"/>
      <charset val="204"/>
    </font>
    <font>
      <sz val="8"/>
      <name val="Times New Roman"/>
      <family val="1"/>
      <charset val="204"/>
    </font>
    <font>
      <b/>
      <sz val="11"/>
      <color indexed="8"/>
      <name val="Times New Roman"/>
      <family val="1"/>
      <charset val="204"/>
    </font>
    <font>
      <b/>
      <sz val="8"/>
      <color rgb="FFFF0000"/>
      <name val="Calibri"/>
      <family val="2"/>
      <charset val="204"/>
      <scheme val="minor"/>
    </font>
    <font>
      <sz val="11"/>
      <color indexed="10"/>
      <name val="Times New Roman"/>
      <family val="1"/>
      <charset val="204"/>
    </font>
    <font>
      <b/>
      <i/>
      <sz val="10"/>
      <name val="Times New Roman"/>
      <family val="1"/>
      <charset val="204"/>
    </font>
    <font>
      <b/>
      <i/>
      <sz val="12"/>
      <color rgb="FFFF0000"/>
      <name val="Times New Roman"/>
      <family val="1"/>
      <charset val="204"/>
    </font>
    <font>
      <b/>
      <sz val="10"/>
      <color rgb="FFFF0000"/>
      <name val="Times New Roman"/>
      <family val="1"/>
      <charset val="204"/>
    </font>
    <font>
      <b/>
      <vertAlign val="superscript"/>
      <sz val="10"/>
      <name val="Times New Roman"/>
      <family val="1"/>
      <charset val="204"/>
    </font>
    <font>
      <vertAlign val="superscript"/>
      <sz val="10"/>
      <name val="Times New Roman"/>
      <family val="1"/>
      <charset val="204"/>
    </font>
    <font>
      <b/>
      <sz val="11"/>
      <color rgb="FFFF0000"/>
      <name val="Calibri"/>
      <family val="2"/>
      <charset val="204"/>
      <scheme val="minor"/>
    </font>
    <font>
      <sz val="10"/>
      <name val="Arial"/>
      <family val="2"/>
      <charset val="177"/>
    </font>
    <font>
      <sz val="9"/>
      <color indexed="81"/>
      <name val="Tahoma"/>
      <family val="2"/>
      <charset val="204"/>
    </font>
    <font>
      <b/>
      <sz val="9"/>
      <color indexed="81"/>
      <name val="Tahoma"/>
      <family val="2"/>
      <charset val="204"/>
    </font>
    <font>
      <sz val="10"/>
      <color theme="1"/>
      <name val="Times New Roman"/>
      <family val="1"/>
      <charset val="204"/>
    </font>
    <font>
      <b/>
      <i/>
      <sz val="14"/>
      <name val="Times New Roman CYR"/>
      <charset val="204"/>
    </font>
    <font>
      <b/>
      <i/>
      <sz val="12"/>
      <name val="Times New Roman CYR"/>
      <charset val="204"/>
    </font>
    <font>
      <b/>
      <sz val="12"/>
      <name val="Times New Roman Cyr"/>
      <charset val="204"/>
    </font>
    <font>
      <sz val="12"/>
      <name val="Arial CYR"/>
      <charset val="204"/>
    </font>
    <font>
      <b/>
      <i/>
      <sz val="11"/>
      <name val="Times New Roman"/>
      <family val="1"/>
      <charset val="204"/>
    </font>
    <font>
      <b/>
      <sz val="12"/>
      <name val="Times New Roman Cyr"/>
      <family val="1"/>
      <charset val="204"/>
    </font>
    <font>
      <sz val="12"/>
      <color rgb="FFFF0000"/>
      <name val="Times New Roman Cyr"/>
      <charset val="204"/>
    </font>
    <font>
      <b/>
      <sz val="12"/>
      <color rgb="FFFF0000"/>
      <name val="Times New Roman Cyr"/>
      <charset val="204"/>
    </font>
    <font>
      <b/>
      <sz val="14"/>
      <name val="Times New Roman CYR"/>
      <charset val="204"/>
    </font>
    <font>
      <sz val="20"/>
      <name val="Times New Roman"/>
      <family val="1"/>
      <charset val="204"/>
    </font>
    <font>
      <b/>
      <sz val="20"/>
      <name val="Times New Roman"/>
      <family val="1"/>
      <charset val="204"/>
    </font>
    <font>
      <b/>
      <sz val="16"/>
      <name val="Calibri"/>
      <family val="1"/>
      <charset val="204"/>
      <scheme val="minor"/>
    </font>
    <font>
      <sz val="10"/>
      <name val="Times New Roman Cyr"/>
      <family val="1"/>
      <charset val="204"/>
    </font>
    <font>
      <sz val="12"/>
      <name val="Times New Roman Cyr"/>
      <family val="1"/>
      <charset val="204"/>
    </font>
    <font>
      <b/>
      <sz val="12"/>
      <color rgb="FFFF0000"/>
      <name val="Calibri"/>
      <family val="1"/>
      <charset val="204"/>
      <scheme val="minor"/>
    </font>
    <font>
      <b/>
      <sz val="20"/>
      <color rgb="FFFF0000"/>
      <name val="Times New Roman"/>
      <family val="1"/>
      <charset val="204"/>
    </font>
    <font>
      <b/>
      <sz val="20"/>
      <color rgb="FFFF0000"/>
      <name val="Calibri"/>
      <family val="1"/>
      <charset val="204"/>
      <scheme val="minor"/>
    </font>
    <font>
      <sz val="1"/>
      <color indexed="8"/>
      <name val="Courier"/>
      <family val="3"/>
    </font>
    <font>
      <sz val="10"/>
      <color indexed="8"/>
      <name val="MS Sans Serif"/>
      <family val="2"/>
      <charset val="204"/>
    </font>
    <font>
      <b/>
      <sz val="12"/>
      <name val="Arial"/>
      <family val="2"/>
    </font>
    <font>
      <b/>
      <u/>
      <sz val="16"/>
      <name val="Arial"/>
      <family val="2"/>
      <charset val="204"/>
    </font>
    <font>
      <sz val="8"/>
      <color indexed="8"/>
      <name val="Times New Roman"/>
      <family val="1"/>
    </font>
    <font>
      <b/>
      <sz val="10"/>
      <name val="Times New Roman"/>
      <family val="1"/>
    </font>
    <font>
      <b/>
      <i/>
      <sz val="10"/>
      <name val="Arial"/>
      <family val="2"/>
      <charset val="204"/>
    </font>
    <font>
      <sz val="10"/>
      <name val="Times New Roman"/>
      <family val="1"/>
    </font>
    <font>
      <b/>
      <i/>
      <sz val="10"/>
      <color indexed="9"/>
      <name val="Arial"/>
      <family val="2"/>
      <charset val="204"/>
    </font>
    <font>
      <b/>
      <i/>
      <u/>
      <sz val="10"/>
      <name val="Arial"/>
      <family val="2"/>
      <charset val="204"/>
    </font>
    <font>
      <b/>
      <i/>
      <u/>
      <sz val="8"/>
      <name val="Arial"/>
      <family val="2"/>
      <charset val="204"/>
    </font>
    <font>
      <sz val="9"/>
      <name val="Arial Cyr"/>
      <charset val="204"/>
    </font>
    <font>
      <sz val="11"/>
      <color indexed="8"/>
      <name val="Times New Roman"/>
      <family val="2"/>
      <charset val="204"/>
    </font>
    <font>
      <sz val="11"/>
      <color indexed="10"/>
      <name val="Arial Cyr"/>
      <family val="2"/>
      <charset val="204"/>
    </font>
    <font>
      <vertAlign val="subscript"/>
      <sz val="12"/>
      <name val="Times New Roman"/>
      <family val="1"/>
      <charset val="204"/>
    </font>
    <font>
      <u/>
      <sz val="10"/>
      <name val="Times New Roman"/>
      <family val="1"/>
      <charset val="204"/>
    </font>
    <font>
      <i/>
      <sz val="11"/>
      <color rgb="FFFF0000"/>
      <name val="Calibri"/>
      <family val="2"/>
      <charset val="204"/>
      <scheme val="minor"/>
    </font>
  </fonts>
  <fills count="6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indexed="15"/>
        <bgColor indexed="64"/>
      </patternFill>
    </fill>
    <fill>
      <patternFill patternType="solid">
        <fgColor indexed="47"/>
        <bgColor indexed="64"/>
      </patternFill>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D3D3D3"/>
      </patternFill>
    </fill>
    <fill>
      <patternFill patternType="solid">
        <fgColor rgb="FFF0FFF0"/>
      </patternFill>
    </fill>
    <fill>
      <patternFill patternType="solid">
        <fgColor theme="4" tint="0.59999389629810485"/>
        <bgColor indexed="64"/>
      </patternFill>
    </fill>
    <fill>
      <patternFill patternType="solid">
        <fgColor indexed="42"/>
        <bgColor indexed="22"/>
      </patternFill>
    </fill>
    <fill>
      <patternFill patternType="solid">
        <fgColor indexed="22"/>
        <bgColor indexed="8"/>
      </patternFill>
    </fill>
    <fill>
      <patternFill patternType="solid">
        <fgColor indexed="58"/>
        <bgColor indexed="64"/>
      </patternFill>
    </fill>
    <fill>
      <patternFill patternType="solid">
        <fgColor indexed="44"/>
        <bgColor indexed="64"/>
      </patternFill>
    </fill>
    <fill>
      <patternFill patternType="solid">
        <fgColor indexed="43"/>
        <bgColor indexed="8"/>
      </patternFill>
    </fill>
    <fill>
      <patternFill patternType="solid">
        <fgColor indexed="9"/>
        <bgColor indexed="9"/>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3"/>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rgb="FFA9A9A9"/>
      </left>
      <right style="thin">
        <color rgb="FFA9A9A9"/>
      </right>
      <top style="thin">
        <color rgb="FFA9A9A9"/>
      </top>
      <bottom style="thin">
        <color rgb="FFA9A9A9"/>
      </bottom>
      <diagonal/>
    </border>
    <border>
      <left style="thin">
        <color rgb="FFA9A9A9"/>
      </left>
      <right/>
      <top style="thin">
        <color rgb="FFA9A9A9"/>
      </top>
      <bottom style="thin">
        <color rgb="FFA9A9A9"/>
      </bottom>
      <diagonal/>
    </border>
    <border>
      <left style="medium">
        <color indexed="64"/>
      </left>
      <right/>
      <top/>
      <bottom style="medium">
        <color indexed="8"/>
      </bottom>
      <diagonal/>
    </border>
    <border>
      <left/>
      <right/>
      <top/>
      <bottom style="medium">
        <color indexed="8"/>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medium">
        <color indexed="8"/>
      </right>
      <top style="medium">
        <color indexed="8"/>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diagonal/>
    </border>
    <border>
      <left style="medium">
        <color rgb="FF000000"/>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indexed="64"/>
      </right>
      <top style="medium">
        <color indexed="8"/>
      </top>
      <bottom style="medium">
        <color indexed="64"/>
      </bottom>
      <diagonal/>
    </border>
    <border>
      <left style="medium">
        <color indexed="64"/>
      </left>
      <right/>
      <top/>
      <bottom style="medium">
        <color rgb="FF000000"/>
      </bottom>
      <diagonal/>
    </border>
    <border>
      <left/>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bottom style="medium">
        <color rgb="FF000000"/>
      </bottom>
      <diagonal/>
    </border>
    <border>
      <left/>
      <right style="medium">
        <color indexed="64"/>
      </right>
      <top style="medium">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ck">
        <color indexed="9"/>
      </left>
      <right style="thick">
        <color indexed="23"/>
      </right>
      <top style="thick">
        <color indexed="9"/>
      </top>
      <bottom style="thick">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647">
    <xf numFmtId="0" fontId="0" fillId="0" borderId="0"/>
    <xf numFmtId="0" fontId="4" fillId="0" borderId="0"/>
    <xf numFmtId="0" fontId="7" fillId="0" borderId="0"/>
    <xf numFmtId="0" fontId="1" fillId="0" borderId="0"/>
    <xf numFmtId="165" fontId="9" fillId="0" borderId="0" applyFont="0" applyFill="0" applyBorder="0" applyAlignment="0" applyProtection="0"/>
    <xf numFmtId="0" fontId="10" fillId="0" borderId="0"/>
    <xf numFmtId="166" fontId="11" fillId="0" borderId="0">
      <alignment vertical="top"/>
    </xf>
    <xf numFmtId="166" fontId="12" fillId="0" borderId="0">
      <alignment vertical="top"/>
    </xf>
    <xf numFmtId="167" fontId="12" fillId="8" borderId="0">
      <alignment vertical="top"/>
    </xf>
    <xf numFmtId="166" fontId="12" fillId="3" borderId="0">
      <alignment vertical="top"/>
    </xf>
    <xf numFmtId="16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0" fontId="13" fillId="0" borderId="0"/>
    <xf numFmtId="0" fontId="13" fillId="0" borderId="0"/>
    <xf numFmtId="0" fontId="13" fillId="0" borderId="0"/>
    <xf numFmtId="0" fontId="13" fillId="0" borderId="0"/>
    <xf numFmtId="0" fontId="10" fillId="0" borderId="0"/>
    <xf numFmtId="16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0" fontId="10" fillId="0" borderId="0"/>
    <xf numFmtId="0" fontId="10" fillId="0" borderId="0"/>
    <xf numFmtId="0" fontId="13" fillId="0" borderId="0"/>
    <xf numFmtId="0" fontId="13" fillId="0" borderId="0"/>
    <xf numFmtId="16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0" fontId="13" fillId="0" borderId="0"/>
    <xf numFmtId="0" fontId="13" fillId="0" borderId="0"/>
    <xf numFmtId="0" fontId="13" fillId="0" borderId="0"/>
    <xf numFmtId="16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168" fontId="11" fillId="0" borderId="0">
      <alignment vertical="top"/>
    </xf>
    <xf numFmtId="38" fontId="11" fillId="0" borderId="0">
      <alignment vertical="top"/>
    </xf>
    <xf numFmtId="38" fontId="11" fillId="0" borderId="0">
      <alignment vertical="top"/>
    </xf>
    <xf numFmtId="38" fontId="11" fillId="0" borderId="0">
      <alignment vertical="top"/>
    </xf>
    <xf numFmtId="38" fontId="11" fillId="0" borderId="0">
      <alignment vertical="top"/>
    </xf>
    <xf numFmtId="168" fontId="11" fillId="0" borderId="0">
      <alignment vertical="top"/>
    </xf>
    <xf numFmtId="38" fontId="11" fillId="0" borderId="0">
      <alignment vertical="top"/>
    </xf>
    <xf numFmtId="38" fontId="11" fillId="0" borderId="0">
      <alignment vertical="top"/>
    </xf>
    <xf numFmtId="0" fontId="13" fillId="0" borderId="0"/>
    <xf numFmtId="0" fontId="10" fillId="0" borderId="0"/>
    <xf numFmtId="0" fontId="10" fillId="0" borderId="0"/>
    <xf numFmtId="0" fontId="13" fillId="0" borderId="0"/>
    <xf numFmtId="0" fontId="10" fillId="0" borderId="0"/>
    <xf numFmtId="0" fontId="10" fillId="0" borderId="0"/>
    <xf numFmtId="0" fontId="13" fillId="0" borderId="0"/>
    <xf numFmtId="169" fontId="14" fillId="0" borderId="0">
      <protection locked="0"/>
    </xf>
    <xf numFmtId="170" fontId="14" fillId="0" borderId="0">
      <protection locked="0"/>
    </xf>
    <xf numFmtId="169" fontId="14" fillId="0" borderId="0">
      <protection locked="0"/>
    </xf>
    <xf numFmtId="170" fontId="14" fillId="0" borderId="0">
      <protection locked="0"/>
    </xf>
    <xf numFmtId="171" fontId="14" fillId="0" borderId="0">
      <protection locked="0"/>
    </xf>
    <xf numFmtId="172" fontId="14" fillId="0" borderId="6">
      <protection locked="0"/>
    </xf>
    <xf numFmtId="172" fontId="15" fillId="0" borderId="0">
      <protection locked="0"/>
    </xf>
    <xf numFmtId="172" fontId="15" fillId="0" borderId="0">
      <protection locked="0"/>
    </xf>
    <xf numFmtId="172" fontId="14" fillId="0" borderId="6">
      <protection locked="0"/>
    </xf>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6" borderId="0" applyNumberFormat="0" applyBorder="0" applyAlignment="0" applyProtection="0"/>
    <xf numFmtId="0" fontId="17" fillId="0" borderId="0" applyNumberFormat="0" applyFill="0" applyBorder="0" applyAlignment="0" applyProtection="0">
      <alignment vertical="top"/>
      <protection locked="0"/>
    </xf>
    <xf numFmtId="173" fontId="18" fillId="0" borderId="7">
      <protection locked="0"/>
    </xf>
    <xf numFmtId="174" fontId="4" fillId="0" borderId="0" applyFont="0" applyFill="0" applyBorder="0" applyAlignment="0" applyProtection="0"/>
    <xf numFmtId="175" fontId="4" fillId="0" borderId="0" applyFont="0" applyFill="0" applyBorder="0" applyAlignment="0" applyProtection="0"/>
    <xf numFmtId="0" fontId="19" fillId="10" borderId="0" applyNumberFormat="0" applyBorder="0" applyAlignment="0" applyProtection="0"/>
    <xf numFmtId="0" fontId="20" fillId="27" borderId="8" applyNumberFormat="0" applyAlignment="0" applyProtection="0"/>
    <xf numFmtId="0" fontId="21" fillId="28" borderId="9" applyNumberFormat="0" applyAlignment="0" applyProtection="0"/>
    <xf numFmtId="3" fontId="23" fillId="0" borderId="0" applyFont="0" applyFill="0" applyBorder="0" applyAlignment="0" applyProtection="0"/>
    <xf numFmtId="173" fontId="24" fillId="29" borderId="7"/>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9" fontId="23" fillId="0" borderId="0" applyFont="0" applyFill="0" applyBorder="0" applyAlignment="0" applyProtection="0"/>
    <xf numFmtId="0" fontId="26" fillId="0" borderId="0" applyFill="0" applyBorder="0" applyProtection="0">
      <alignment vertical="center"/>
    </xf>
    <xf numFmtId="0" fontId="23" fillId="0" borderId="0" applyFont="0" applyFill="0" applyBorder="0" applyAlignment="0" applyProtection="0"/>
    <xf numFmtId="14" fontId="27" fillId="0" borderId="0">
      <alignment vertical="top"/>
    </xf>
    <xf numFmtId="168" fontId="28" fillId="0" borderId="0">
      <alignment vertical="top"/>
    </xf>
    <xf numFmtId="180" fontId="27"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81" fontId="30" fillId="0" borderId="0" applyFill="0" applyBorder="0" applyAlignment="0" applyProtection="0"/>
    <xf numFmtId="181" fontId="11" fillId="0" borderId="0" applyFill="0" applyBorder="0" applyAlignment="0" applyProtection="0"/>
    <xf numFmtId="181" fontId="31" fillId="0" borderId="0" applyFill="0" applyBorder="0" applyAlignment="0" applyProtection="0"/>
    <xf numFmtId="181" fontId="32" fillId="0" borderId="0" applyFill="0" applyBorder="0" applyAlignment="0" applyProtection="0"/>
    <xf numFmtId="181" fontId="33" fillId="0" borderId="0" applyFill="0" applyBorder="0" applyAlignment="0" applyProtection="0"/>
    <xf numFmtId="181" fontId="34" fillId="0" borderId="0" applyFill="0" applyBorder="0" applyAlignment="0" applyProtection="0"/>
    <xf numFmtId="181" fontId="35" fillId="0" borderId="0" applyFill="0" applyBorder="0" applyAlignment="0" applyProtection="0"/>
    <xf numFmtId="2" fontId="23" fillId="0" borderId="0" applyFont="0" applyFill="0" applyBorder="0" applyAlignment="0" applyProtection="0"/>
    <xf numFmtId="0" fontId="36" fillId="0" borderId="0" applyNumberFormat="0" applyFill="0" applyBorder="0" applyAlignment="0" applyProtection="0">
      <alignment vertical="top"/>
      <protection locked="0"/>
    </xf>
    <xf numFmtId="0" fontId="37" fillId="11" borderId="0" applyNumberFormat="0" applyBorder="0" applyAlignment="0" applyProtection="0"/>
    <xf numFmtId="0" fontId="38" fillId="0" borderId="0">
      <alignment vertical="top"/>
    </xf>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168" fontId="43" fillId="0" borderId="0">
      <alignment vertical="top"/>
    </xf>
    <xf numFmtId="0" fontId="44" fillId="0" borderId="0" applyNumberFormat="0" applyFill="0" applyBorder="0" applyAlignment="0" applyProtection="0">
      <alignment vertical="top"/>
      <protection locked="0"/>
    </xf>
    <xf numFmtId="173" fontId="45" fillId="0" borderId="0"/>
    <xf numFmtId="0" fontId="46" fillId="0" borderId="0" applyNumberFormat="0" applyFill="0" applyBorder="0" applyAlignment="0" applyProtection="0">
      <alignment vertical="top"/>
      <protection locked="0"/>
    </xf>
    <xf numFmtId="0" fontId="47" fillId="14" borderId="8" applyNumberFormat="0" applyAlignment="0" applyProtection="0"/>
    <xf numFmtId="0" fontId="48" fillId="0" borderId="0" applyFill="0" applyBorder="0" applyProtection="0">
      <alignment vertical="center"/>
    </xf>
    <xf numFmtId="168" fontId="12" fillId="0" borderId="0">
      <alignment vertical="top"/>
    </xf>
    <xf numFmtId="168" fontId="12" fillId="8" borderId="0">
      <alignment vertical="top"/>
    </xf>
    <xf numFmtId="182" fontId="12" fillId="3" borderId="0">
      <alignment vertical="top"/>
    </xf>
    <xf numFmtId="38" fontId="12" fillId="0" borderId="0">
      <alignment vertical="top"/>
    </xf>
    <xf numFmtId="0" fontId="49" fillId="0" borderId="13" applyNumberFormat="0" applyFill="0" applyAlignment="0" applyProtection="0"/>
    <xf numFmtId="183" fontId="50" fillId="0" borderId="0" applyFon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xf numFmtId="0" fontId="26" fillId="0" borderId="0" applyFill="0" applyBorder="0" applyProtection="0">
      <alignment vertical="center"/>
    </xf>
    <xf numFmtId="0" fontId="10" fillId="0" borderId="0"/>
    <xf numFmtId="0" fontId="54" fillId="31" borderId="14" applyNumberFormat="0" applyFont="0" applyAlignment="0" applyProtection="0"/>
    <xf numFmtId="184" fontId="4" fillId="0" borderId="0" applyFont="0" applyFill="0" applyBorder="0" applyAlignment="0" applyProtection="0"/>
    <xf numFmtId="185" fontId="4" fillId="0" borderId="0" applyFont="0" applyFill="0" applyBorder="0" applyAlignment="0" applyProtection="0"/>
    <xf numFmtId="0" fontId="55" fillId="0" borderId="0"/>
    <xf numFmtId="0" fontId="56" fillId="27" borderId="15" applyNumberFormat="0" applyAlignment="0" applyProtection="0"/>
    <xf numFmtId="0" fontId="26" fillId="0" borderId="0" applyFill="0" applyBorder="0" applyProtection="0">
      <alignment vertical="center"/>
    </xf>
    <xf numFmtId="0" fontId="57" fillId="0" borderId="0" applyNumberFormat="0">
      <alignment horizontal="left"/>
    </xf>
    <xf numFmtId="4" fontId="58" fillId="32" borderId="15" applyNumberFormat="0" applyProtection="0">
      <alignment vertical="center"/>
    </xf>
    <xf numFmtId="4" fontId="59" fillId="32" borderId="15" applyNumberFormat="0" applyProtection="0">
      <alignment vertical="center"/>
    </xf>
    <xf numFmtId="4" fontId="58" fillId="32" borderId="15" applyNumberFormat="0" applyProtection="0">
      <alignment horizontal="left" vertical="center" indent="1"/>
    </xf>
    <xf numFmtId="4" fontId="58" fillId="32" borderId="15" applyNumberFormat="0" applyProtection="0">
      <alignment horizontal="left" vertical="center" indent="1"/>
    </xf>
    <xf numFmtId="0" fontId="22" fillId="33" borderId="15" applyNumberFormat="0" applyProtection="0">
      <alignment horizontal="left" vertical="center" indent="1"/>
    </xf>
    <xf numFmtId="4" fontId="58" fillId="34" borderId="15" applyNumberFormat="0" applyProtection="0">
      <alignment horizontal="right" vertical="center"/>
    </xf>
    <xf numFmtId="4" fontId="58" fillId="35" borderId="15" applyNumberFormat="0" applyProtection="0">
      <alignment horizontal="right" vertical="center"/>
    </xf>
    <xf numFmtId="4" fontId="58" fillId="36" borderId="15" applyNumberFormat="0" applyProtection="0">
      <alignment horizontal="right" vertical="center"/>
    </xf>
    <xf numFmtId="4" fontId="58" fillId="37" borderId="15" applyNumberFormat="0" applyProtection="0">
      <alignment horizontal="right" vertical="center"/>
    </xf>
    <xf numFmtId="4" fontId="58" fillId="38" borderId="15" applyNumberFormat="0" applyProtection="0">
      <alignment horizontal="right" vertical="center"/>
    </xf>
    <xf numFmtId="4" fontId="58" fillId="39" borderId="15" applyNumberFormat="0" applyProtection="0">
      <alignment horizontal="right" vertical="center"/>
    </xf>
    <xf numFmtId="4" fontId="58" fillId="40" borderId="15" applyNumberFormat="0" applyProtection="0">
      <alignment horizontal="right" vertical="center"/>
    </xf>
    <xf numFmtId="4" fontId="58" fillId="41" borderId="15" applyNumberFormat="0" applyProtection="0">
      <alignment horizontal="right" vertical="center"/>
    </xf>
    <xf numFmtId="4" fontId="58" fillId="42" borderId="15" applyNumberFormat="0" applyProtection="0">
      <alignment horizontal="right" vertical="center"/>
    </xf>
    <xf numFmtId="4" fontId="60" fillId="43" borderId="15" applyNumberFormat="0" applyProtection="0">
      <alignment horizontal="left" vertical="center" indent="1"/>
    </xf>
    <xf numFmtId="4" fontId="58" fillId="44" borderId="16" applyNumberFormat="0" applyProtection="0">
      <alignment horizontal="left" vertical="center" indent="1"/>
    </xf>
    <xf numFmtId="4" fontId="61" fillId="45" borderId="0" applyNumberFormat="0" applyProtection="0">
      <alignment horizontal="left" vertical="center" indent="1"/>
    </xf>
    <xf numFmtId="0" fontId="22" fillId="33" borderId="15" applyNumberFormat="0" applyProtection="0">
      <alignment horizontal="left" vertical="center" indent="1"/>
    </xf>
    <xf numFmtId="4" fontId="62" fillId="44" borderId="15" applyNumberFormat="0" applyProtection="0">
      <alignment horizontal="left" vertical="center" indent="1"/>
    </xf>
    <xf numFmtId="4" fontId="62" fillId="46" borderId="15" applyNumberFormat="0" applyProtection="0">
      <alignment horizontal="left" vertical="center" indent="1"/>
    </xf>
    <xf numFmtId="0" fontId="22" fillId="46" borderId="15" applyNumberFormat="0" applyProtection="0">
      <alignment horizontal="left" vertical="center" indent="1"/>
    </xf>
    <xf numFmtId="0" fontId="22" fillId="46" borderId="15" applyNumberFormat="0" applyProtection="0">
      <alignment horizontal="left" vertical="center" indent="1"/>
    </xf>
    <xf numFmtId="0" fontId="22" fillId="47" borderId="15" applyNumberFormat="0" applyProtection="0">
      <alignment horizontal="left" vertical="center" indent="1"/>
    </xf>
    <xf numFmtId="0" fontId="22" fillId="47" borderId="15" applyNumberFormat="0" applyProtection="0">
      <alignment horizontal="left" vertical="center" indent="1"/>
    </xf>
    <xf numFmtId="0" fontId="22" fillId="8" borderId="15" applyNumberFormat="0" applyProtection="0">
      <alignment horizontal="left" vertical="center" indent="1"/>
    </xf>
    <xf numFmtId="0" fontId="22" fillId="8" borderId="15" applyNumberFormat="0" applyProtection="0">
      <alignment horizontal="left" vertical="center" indent="1"/>
    </xf>
    <xf numFmtId="0" fontId="22" fillId="33" borderId="15" applyNumberFormat="0" applyProtection="0">
      <alignment horizontal="left" vertical="center" indent="1"/>
    </xf>
    <xf numFmtId="0" fontId="22" fillId="33" borderId="15" applyNumberFormat="0" applyProtection="0">
      <alignment horizontal="left" vertical="center" indent="1"/>
    </xf>
    <xf numFmtId="0" fontId="4" fillId="0" borderId="0"/>
    <xf numFmtId="4" fontId="58" fillId="48" borderId="15" applyNumberFormat="0" applyProtection="0">
      <alignment vertical="center"/>
    </xf>
    <xf numFmtId="4" fontId="59" fillId="48" borderId="15" applyNumberFormat="0" applyProtection="0">
      <alignment vertical="center"/>
    </xf>
    <xf numFmtId="4" fontId="58" fillId="48" borderId="15" applyNumberFormat="0" applyProtection="0">
      <alignment horizontal="left" vertical="center" indent="1"/>
    </xf>
    <xf numFmtId="4" fontId="58" fillId="48" borderId="15" applyNumberFormat="0" applyProtection="0">
      <alignment horizontal="left" vertical="center" indent="1"/>
    </xf>
    <xf numFmtId="4" fontId="58" fillId="44" borderId="15" applyNumberFormat="0" applyProtection="0">
      <alignment horizontal="right" vertical="center"/>
    </xf>
    <xf numFmtId="4" fontId="59" fillId="44" borderId="15" applyNumberFormat="0" applyProtection="0">
      <alignment horizontal="right" vertical="center"/>
    </xf>
    <xf numFmtId="0" fontId="22" fillId="33" borderId="15" applyNumberFormat="0" applyProtection="0">
      <alignment horizontal="left" vertical="center" indent="1"/>
    </xf>
    <xf numFmtId="0" fontId="22" fillId="33" borderId="15" applyNumberFormat="0" applyProtection="0">
      <alignment horizontal="left" vertical="center" indent="1"/>
    </xf>
    <xf numFmtId="0" fontId="63" fillId="0" borderId="0"/>
    <xf numFmtId="4" fontId="64" fillId="44" borderId="15" applyNumberFormat="0" applyProtection="0">
      <alignment horizontal="right" vertical="center"/>
    </xf>
    <xf numFmtId="0" fontId="10" fillId="0" borderId="0"/>
    <xf numFmtId="168" fontId="65" fillId="49" borderId="0">
      <alignment horizontal="right" vertical="top"/>
    </xf>
    <xf numFmtId="0" fontId="66" fillId="0" borderId="0"/>
    <xf numFmtId="0" fontId="67" fillId="0" borderId="4" applyFill="0" applyBorder="0" applyProtection="0"/>
    <xf numFmtId="0" fontId="68" fillId="0" borderId="0" applyNumberFormat="0" applyFill="0" applyBorder="0" applyAlignment="0" applyProtection="0"/>
    <xf numFmtId="0" fontId="69" fillId="0" borderId="17" applyNumberFormat="0" applyFill="0" applyAlignment="0" applyProtection="0"/>
    <xf numFmtId="0" fontId="70" fillId="0" borderId="0" applyNumberFormat="0" applyFill="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73" fontId="18" fillId="0" borderId="7">
      <protection locked="0"/>
    </xf>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47" fillId="14" borderId="8"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56" fillId="27" borderId="15"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71"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4" fontId="72" fillId="50" borderId="1"/>
    <xf numFmtId="186" fontId="73" fillId="0" borderId="1">
      <alignment horizontal="center" vertical="center"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4" fontId="9" fillId="0" borderId="0" applyFont="0" applyFill="0" applyBorder="0" applyAlignment="0" applyProtection="0"/>
    <xf numFmtId="0" fontId="74" fillId="0" borderId="0" applyBorder="0">
      <alignment horizontal="center" vertical="center" wrapText="1"/>
    </xf>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75" fillId="0" borderId="0" applyNumberFormat="0" applyFill="0" applyBorder="0" applyAlignment="0" applyProtection="0"/>
    <xf numFmtId="0" fontId="76" fillId="0" borderId="18" applyBorder="0">
      <alignment horizontal="center" vertical="center" wrapText="1"/>
    </xf>
    <xf numFmtId="173" fontId="24" fillId="29" borderId="7"/>
    <xf numFmtId="4" fontId="54" fillId="32" borderId="1" applyBorder="0">
      <alignment horizontal="right"/>
    </xf>
    <xf numFmtId="49" fontId="77" fillId="0" borderId="0" applyBorder="0">
      <alignment vertical="center"/>
    </xf>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3" fontId="24" fillId="0" borderId="1" applyBorder="0">
      <alignment vertical="center"/>
    </xf>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75" fillId="0" borderId="0">
      <alignment horizontal="center" vertical="top" wrapText="1"/>
    </xf>
    <xf numFmtId="0" fontId="78" fillId="0" borderId="0">
      <alignment horizontal="centerContinuous" vertical="center"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0" fontId="52" fillId="3" borderId="0" applyFill="0">
      <alignment wrapText="1"/>
    </xf>
    <xf numFmtId="187" fontId="79" fillId="3" borderId="1">
      <alignment wrapText="1"/>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181" fontId="80" fillId="0" borderId="0">
      <alignment horizontal="right" vertical="top" wrapText="1"/>
    </xf>
    <xf numFmtId="0" fontId="7" fillId="0" borderId="0"/>
    <xf numFmtId="49" fontId="54" fillId="0" borderId="0" applyBorder="0">
      <alignment vertical="top"/>
    </xf>
    <xf numFmtId="0" fontId="81" fillId="0" borderId="0"/>
    <xf numFmtId="0" fontId="4" fillId="0" borderId="0"/>
    <xf numFmtId="0" fontId="1" fillId="0" borderId="0"/>
    <xf numFmtId="0" fontId="1" fillId="0" borderId="0"/>
    <xf numFmtId="0" fontId="82" fillId="0" borderId="0"/>
    <xf numFmtId="0" fontId="83" fillId="0" borderId="0"/>
    <xf numFmtId="49" fontId="54" fillId="0" borderId="0" applyBorder="0">
      <alignment vertical="top"/>
    </xf>
    <xf numFmtId="49" fontId="54" fillId="0" borderId="0" applyBorder="0">
      <alignment vertical="top"/>
    </xf>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22" fillId="0" borderId="0"/>
    <xf numFmtId="0" fontId="9" fillId="0" borderId="0"/>
    <xf numFmtId="0" fontId="9" fillId="0" borderId="0"/>
    <xf numFmtId="0" fontId="9" fillId="0" borderId="0"/>
    <xf numFmtId="0" fontId="1" fillId="0" borderId="0"/>
    <xf numFmtId="0" fontId="9" fillId="0" borderId="0"/>
    <xf numFmtId="0" fontId="9" fillId="0" borderId="0"/>
    <xf numFmtId="0" fontId="22" fillId="0" borderId="0"/>
    <xf numFmtId="0" fontId="9" fillId="0" borderId="0"/>
    <xf numFmtId="0" fontId="9" fillId="0" borderId="0"/>
    <xf numFmtId="0" fontId="9" fillId="0" borderId="0"/>
    <xf numFmtId="0" fontId="84" fillId="0" borderId="0"/>
    <xf numFmtId="0" fontId="9" fillId="0" borderId="0"/>
    <xf numFmtId="0" fontId="82" fillId="0" borderId="0"/>
    <xf numFmtId="0" fontId="9" fillId="0" borderId="0"/>
    <xf numFmtId="0" fontId="4" fillId="0" borderId="0"/>
    <xf numFmtId="0" fontId="82" fillId="0" borderId="0"/>
    <xf numFmtId="0" fontId="9" fillId="0" borderId="0"/>
    <xf numFmtId="49" fontId="54" fillId="0" borderId="0" applyBorder="0">
      <alignment vertical="top"/>
    </xf>
    <xf numFmtId="0" fontId="4" fillId="0" borderId="0"/>
    <xf numFmtId="0" fontId="22" fillId="0" borderId="0"/>
    <xf numFmtId="49" fontId="54" fillId="0" borderId="0" applyBorder="0">
      <alignment vertical="top"/>
    </xf>
    <xf numFmtId="0" fontId="22" fillId="0" borderId="0"/>
    <xf numFmtId="0" fontId="22" fillId="0" borderId="0"/>
    <xf numFmtId="49" fontId="54" fillId="0" borderId="0" applyBorder="0">
      <alignment vertical="top"/>
    </xf>
    <xf numFmtId="0" fontId="85" fillId="0" borderId="0"/>
    <xf numFmtId="49" fontId="54" fillId="0" borderId="0" applyBorder="0">
      <alignment vertical="top"/>
    </xf>
    <xf numFmtId="0" fontId="7" fillId="0" borderId="0"/>
    <xf numFmtId="49" fontId="54" fillId="0" borderId="0" applyBorder="0">
      <alignment vertical="top"/>
    </xf>
    <xf numFmtId="0" fontId="7" fillId="0" borderId="0"/>
    <xf numFmtId="49" fontId="54" fillId="0" borderId="0" applyBorder="0">
      <alignment vertical="top"/>
    </xf>
    <xf numFmtId="0" fontId="22" fillId="0" borderId="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4" fillId="0" borderId="0" applyFont="0" applyFill="0" applyBorder="0" applyProtection="0">
      <alignment horizontal="center" vertical="center" wrapText="1"/>
    </xf>
    <xf numFmtId="0" fontId="4" fillId="0" borderId="0" applyFont="0" applyFill="0" applyBorder="0" applyProtection="0">
      <alignment horizontal="center" vertical="center" wrapText="1"/>
    </xf>
    <xf numFmtId="0" fontId="4" fillId="0" borderId="0" applyNumberFormat="0" applyFont="0" applyFill="0" applyBorder="0" applyProtection="0">
      <alignment horizontal="justify" vertical="center" wrapText="1"/>
    </xf>
    <xf numFmtId="181" fontId="86" fillId="32" borderId="19" applyNumberFormat="0" applyBorder="0" applyAlignment="0">
      <alignment vertical="center"/>
      <protection locked="0"/>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4"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0" fontId="22" fillId="31" borderId="14" applyNumberFormat="0" applyFont="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87" fillId="0" borderId="1"/>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10" fillId="0" borderId="0"/>
    <xf numFmtId="168" fontId="11" fillId="0" borderId="0">
      <alignment vertical="top"/>
    </xf>
    <xf numFmtId="181" fontId="52" fillId="0" borderId="0" applyFill="0" applyBorder="0" applyAlignment="0" applyProtection="0"/>
    <xf numFmtId="181" fontId="52" fillId="0" borderId="0" applyFill="0" applyBorder="0" applyAlignment="0" applyProtection="0"/>
    <xf numFmtId="181" fontId="52" fillId="0" borderId="0" applyFill="0" applyBorder="0" applyAlignment="0" applyProtection="0"/>
    <xf numFmtId="181" fontId="52" fillId="0" borderId="0" applyFill="0" applyBorder="0" applyAlignment="0" applyProtection="0"/>
    <xf numFmtId="181" fontId="52" fillId="0" borderId="0" applyFill="0" applyBorder="0" applyAlignment="0" applyProtection="0"/>
    <xf numFmtId="181" fontId="52" fillId="0" borderId="0" applyFill="0" applyBorder="0" applyAlignment="0" applyProtection="0"/>
    <xf numFmtId="181" fontId="52" fillId="0" borderId="0" applyFill="0" applyBorder="0" applyAlignment="0" applyProtection="0"/>
    <xf numFmtId="181" fontId="52" fillId="0" borderId="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9" fontId="52" fillId="0" borderId="0">
      <alignment horizontal="center"/>
    </xf>
    <xf numFmtId="49" fontId="52" fillId="0" borderId="0">
      <alignment horizontal="center"/>
    </xf>
    <xf numFmtId="49" fontId="52" fillId="0" borderId="0">
      <alignment horizontal="center"/>
    </xf>
    <xf numFmtId="49" fontId="52" fillId="0" borderId="0">
      <alignment horizontal="center"/>
    </xf>
    <xf numFmtId="49" fontId="52" fillId="0" borderId="0">
      <alignment horizontal="center"/>
    </xf>
    <xf numFmtId="49" fontId="52" fillId="0" borderId="0">
      <alignment horizontal="center"/>
    </xf>
    <xf numFmtId="49" fontId="52" fillId="0" borderId="0">
      <alignment horizontal="center"/>
    </xf>
    <xf numFmtId="49" fontId="52" fillId="0" borderId="0">
      <alignment horizontal="center"/>
    </xf>
    <xf numFmtId="49" fontId="52" fillId="0" borderId="0">
      <alignment horizontal="center"/>
    </xf>
    <xf numFmtId="49" fontId="52" fillId="0" borderId="0">
      <alignment horizontal="center"/>
    </xf>
    <xf numFmtId="189" fontId="4" fillId="0" borderId="0" applyFont="0" applyFill="0" applyBorder="0" applyAlignment="0" applyProtection="0"/>
    <xf numFmtId="190" fontId="4" fillId="0" borderId="0" applyFont="0" applyFill="0" applyBorder="0" applyAlignment="0" applyProtection="0"/>
    <xf numFmtId="2" fontId="52" fillId="0" borderId="0" applyFill="0" applyBorder="0" applyAlignment="0" applyProtection="0"/>
    <xf numFmtId="2" fontId="52" fillId="0" borderId="0" applyFill="0" applyBorder="0" applyAlignment="0" applyProtection="0"/>
    <xf numFmtId="2" fontId="52" fillId="0" borderId="0" applyFill="0" applyBorder="0" applyAlignment="0" applyProtection="0"/>
    <xf numFmtId="2" fontId="52" fillId="0" borderId="0" applyFill="0" applyBorder="0" applyAlignment="0" applyProtection="0"/>
    <xf numFmtId="2" fontId="52" fillId="0" borderId="0" applyFill="0" applyBorder="0" applyAlignment="0" applyProtection="0"/>
    <xf numFmtId="2" fontId="52" fillId="0" borderId="0" applyFill="0" applyBorder="0" applyAlignment="0" applyProtection="0"/>
    <xf numFmtId="2" fontId="52" fillId="0" borderId="0" applyFill="0" applyBorder="0" applyAlignment="0" applyProtection="0"/>
    <xf numFmtId="2" fontId="52" fillId="0" borderId="0" applyFill="0" applyBorder="0" applyAlignment="0" applyProtection="0"/>
    <xf numFmtId="2" fontId="52" fillId="0" borderId="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 fontId="54" fillId="3" borderId="0" applyBorder="0">
      <alignment horizontal="right"/>
    </xf>
    <xf numFmtId="4" fontId="54" fillId="3" borderId="0" applyBorder="0">
      <alignment horizontal="right"/>
    </xf>
    <xf numFmtId="4" fontId="54" fillId="3" borderId="0" applyBorder="0">
      <alignment horizontal="right"/>
    </xf>
    <xf numFmtId="4" fontId="54" fillId="51" borderId="20" applyBorder="0">
      <alignment horizontal="right"/>
    </xf>
    <xf numFmtId="4" fontId="54" fillId="3" borderId="1" applyFont="0" applyBorder="0">
      <alignment horizontal="right"/>
    </xf>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91" fontId="4" fillId="0" borderId="1" applyFont="0" applyFill="0" applyBorder="0" applyProtection="0">
      <alignment horizontal="center" vertical="center"/>
    </xf>
    <xf numFmtId="191" fontId="4" fillId="0" borderId="1" applyFont="0" applyFill="0" applyBorder="0" applyProtection="0">
      <alignment horizontal="center" vertical="center"/>
    </xf>
    <xf numFmtId="192" fontId="14" fillId="0" borderId="0">
      <protection locked="0"/>
    </xf>
    <xf numFmtId="49" fontId="73" fillId="0" borderId="1">
      <alignment horizontal="center" vertical="center" wrapText="1"/>
    </xf>
    <xf numFmtId="0" fontId="18" fillId="0" borderId="1" applyBorder="0">
      <alignment horizontal="center" vertical="center" wrapText="1"/>
    </xf>
    <xf numFmtId="49" fontId="54" fillId="0" borderId="0" applyBorder="0">
      <alignment vertical="top"/>
    </xf>
    <xf numFmtId="0" fontId="96" fillId="0" borderId="0"/>
    <xf numFmtId="0" fontId="82" fillId="0" borderId="0"/>
    <xf numFmtId="0" fontId="4" fillId="0" borderId="0"/>
    <xf numFmtId="0" fontId="10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5" fontId="82" fillId="0" borderId="0" applyFont="0" applyFill="0" applyBorder="0" applyAlignment="0" applyProtection="0"/>
    <xf numFmtId="0" fontId="154" fillId="0" borderId="0"/>
    <xf numFmtId="0" fontId="1" fillId="0" borderId="0"/>
    <xf numFmtId="0" fontId="1" fillId="0" borderId="0"/>
    <xf numFmtId="0" fontId="16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0" fillId="0" borderId="0"/>
    <xf numFmtId="200" fontId="175" fillId="0" borderId="0">
      <protection locked="0"/>
    </xf>
    <xf numFmtId="201" fontId="4" fillId="0" borderId="0">
      <alignment horizontal="center"/>
    </xf>
    <xf numFmtId="202" fontId="75" fillId="50" borderId="78">
      <alignment horizontal="center" vertical="center"/>
      <protection locked="0"/>
    </xf>
    <xf numFmtId="203" fontId="25" fillId="0" borderId="0" applyFont="0" applyFill="0" applyBorder="0" applyAlignment="0" applyProtection="0"/>
    <xf numFmtId="204" fontId="25" fillId="0" borderId="0" applyFont="0" applyFill="0" applyBorder="0" applyAlignment="0" applyProtection="0"/>
    <xf numFmtId="0" fontId="44" fillId="0" borderId="0" applyNumberFormat="0" applyFill="0" applyBorder="0" applyAlignment="0" applyProtection="0">
      <alignment vertical="top"/>
      <protection locked="0"/>
    </xf>
    <xf numFmtId="0" fontId="176" fillId="0" borderId="0" applyFill="0" applyBorder="0" applyAlignment="0"/>
    <xf numFmtId="205"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76" fontId="22" fillId="0" borderId="0" applyFont="0" applyFill="0" applyBorder="0" applyAlignment="0" applyProtection="0"/>
    <xf numFmtId="177" fontId="22" fillId="0" borderId="0" applyFont="0" applyFill="0" applyBorder="0" applyAlignment="0" applyProtection="0"/>
    <xf numFmtId="0" fontId="177" fillId="0" borderId="35" applyNumberFormat="0" applyAlignment="0" applyProtection="0">
      <alignment horizontal="left" vertical="center"/>
    </xf>
    <xf numFmtId="0" fontId="177" fillId="0" borderId="5">
      <alignment horizontal="left" vertical="center"/>
    </xf>
    <xf numFmtId="0" fontId="25" fillId="0" borderId="0"/>
    <xf numFmtId="0" fontId="36" fillId="0" borderId="0" applyNumberFormat="0" applyFill="0" applyBorder="0" applyAlignment="0" applyProtection="0">
      <alignment vertical="top"/>
      <protection locked="0"/>
    </xf>
    <xf numFmtId="0" fontId="178" fillId="0" borderId="0">
      <alignment vertical="center"/>
    </xf>
    <xf numFmtId="0" fontId="179" fillId="61" borderId="79">
      <alignment horizontal="left" vertical="center" wrapText="1"/>
    </xf>
    <xf numFmtId="208" fontId="171" fillId="0" borderId="1">
      <alignment horizontal="right" vertical="center" wrapText="1"/>
    </xf>
    <xf numFmtId="0" fontId="180" fillId="8" borderId="0"/>
    <xf numFmtId="209" fontId="22" fillId="62" borderId="1">
      <alignment vertical="center"/>
    </xf>
    <xf numFmtId="165" fontId="4"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168" fontId="25" fillId="0" borderId="0" applyFont="0" applyFill="0" applyBorder="0" applyAlignment="0" applyProtection="0"/>
    <xf numFmtId="212" fontId="25" fillId="0" borderId="0" applyFont="0" applyFill="0" applyBorder="0" applyAlignment="0" applyProtection="0"/>
    <xf numFmtId="168" fontId="25" fillId="0" borderId="0" applyFont="0" applyFill="0" applyBorder="0" applyAlignment="0" applyProtection="0"/>
    <xf numFmtId="212" fontId="25" fillId="0" borderId="0" applyFont="0" applyFill="0" applyBorder="0" applyAlignment="0" applyProtection="0"/>
    <xf numFmtId="0" fontId="168" fillId="0" borderId="0"/>
    <xf numFmtId="0" fontId="22" fillId="8" borderId="2" applyNumberFormat="0" applyFont="0" applyFill="0" applyBorder="0" applyAlignment="0" applyProtection="0"/>
    <xf numFmtId="0" fontId="168" fillId="0" borderId="0"/>
    <xf numFmtId="209" fontId="181" fillId="62" borderId="1">
      <alignment horizontal="center" vertical="center" wrapText="1"/>
      <protection locked="0"/>
    </xf>
    <xf numFmtId="0" fontId="22" fillId="0" borderId="0">
      <alignment vertical="center"/>
    </xf>
    <xf numFmtId="0" fontId="22" fillId="63" borderId="0"/>
    <xf numFmtId="0" fontId="22" fillId="8" borderId="0">
      <alignment horizontal="center" vertical="center"/>
    </xf>
    <xf numFmtId="213" fontId="11" fillId="64" borderId="79" applyFont="0" applyAlignment="0" applyProtection="0"/>
    <xf numFmtId="0" fontId="182" fillId="61" borderId="79">
      <alignment horizontal="left" vertical="center" wrapText="1"/>
    </xf>
    <xf numFmtId="214" fontId="83" fillId="0" borderId="79">
      <alignment horizontal="center" vertical="center" wrapText="1"/>
    </xf>
    <xf numFmtId="215" fontId="83" fillId="64" borderId="79">
      <alignment horizontal="center" vertical="center" wrapText="1"/>
      <protection locked="0"/>
    </xf>
    <xf numFmtId="0" fontId="22" fillId="8" borderId="0"/>
    <xf numFmtId="209" fontId="183" fillId="36" borderId="30">
      <alignment horizontal="center" vertical="center"/>
    </xf>
    <xf numFmtId="0" fontId="90" fillId="0" borderId="0"/>
    <xf numFmtId="0" fontId="90" fillId="0" borderId="0"/>
    <xf numFmtId="183" fontId="22" fillId="0" borderId="0" applyFont="0" applyFill="0" applyBorder="0" applyAlignment="0" applyProtection="0"/>
    <xf numFmtId="216" fontId="22" fillId="0" borderId="0" applyFont="0" applyFill="0" applyBorder="0" applyAlignment="0" applyProtection="0"/>
    <xf numFmtId="209" fontId="22" fillId="65" borderId="1" applyNumberFormat="0" applyFill="0" applyBorder="0" applyProtection="0">
      <alignment vertical="center"/>
      <protection locked="0"/>
    </xf>
    <xf numFmtId="164" fontId="9" fillId="0" borderId="0" applyFont="0" applyFill="0" applyBorder="0" applyAlignment="0" applyProtection="0"/>
    <xf numFmtId="0" fontId="7" fillId="0" borderId="0"/>
    <xf numFmtId="0" fontId="1" fillId="0" borderId="0"/>
    <xf numFmtId="0" fontId="11" fillId="0" borderId="0"/>
    <xf numFmtId="0" fontId="1" fillId="0" borderId="0"/>
    <xf numFmtId="9" fontId="82" fillId="0" borderId="0" applyFont="0" applyFill="0" applyBorder="0" applyAlignment="0" applyProtection="0"/>
    <xf numFmtId="0" fontId="184" fillId="0" borderId="0" applyNumberFormat="0" applyFill="0" applyBorder="0" applyAlignment="0" applyProtection="0"/>
    <xf numFmtId="0" fontId="185" fillId="0" borderId="0" applyNumberFormat="0" applyFill="0" applyBorder="0" applyAlignment="0" applyProtection="0"/>
    <xf numFmtId="3" fontId="186" fillId="0" borderId="28" applyFont="0" applyBorder="0">
      <alignment horizontal="right"/>
      <protection locked="0"/>
    </xf>
    <xf numFmtId="165" fontId="187" fillId="0" borderId="0" applyFont="0" applyFill="0" applyBorder="0" applyAlignment="0" applyProtection="0"/>
    <xf numFmtId="165" fontId="9" fillId="0" borderId="0" applyFont="0" applyFill="0" applyBorder="0" applyAlignment="0" applyProtection="0"/>
    <xf numFmtId="217" fontId="188" fillId="66" borderId="80">
      <alignment vertical="center"/>
    </xf>
    <xf numFmtId="0" fontId="170" fillId="0" borderId="0"/>
    <xf numFmtId="0" fontId="170" fillId="0" borderId="0"/>
    <xf numFmtId="0" fontId="170" fillId="0" borderId="0"/>
    <xf numFmtId="0" fontId="170" fillId="0" borderId="0"/>
    <xf numFmtId="0" fontId="170"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28">
    <xf numFmtId="0" fontId="0" fillId="0" borderId="0" xfId="0"/>
    <xf numFmtId="49" fontId="5" fillId="6" borderId="1"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7" fillId="0" borderId="0" xfId="1169" applyFont="1" applyProtection="1">
      <protection locked="0"/>
    </xf>
    <xf numFmtId="49" fontId="88" fillId="0" borderId="0" xfId="1203" applyNumberFormat="1" applyFont="1" applyFill="1" applyBorder="1" applyAlignment="1" applyProtection="1">
      <alignment horizontal="center" vertical="center" wrapText="1"/>
    </xf>
    <xf numFmtId="0" fontId="7" fillId="0" borderId="0" xfId="1169" applyFont="1" applyProtection="1"/>
    <xf numFmtId="49" fontId="88" fillId="5" borderId="1" xfId="1203" applyNumberFormat="1" applyFont="1" applyFill="1" applyBorder="1" applyAlignment="1" applyProtection="1">
      <alignment horizontal="center" vertical="center" wrapText="1"/>
    </xf>
    <xf numFmtId="0" fontId="101" fillId="5" borderId="1" xfId="1169" applyFont="1" applyFill="1" applyBorder="1" applyAlignment="1" applyProtection="1">
      <alignment horizontal="center"/>
    </xf>
    <xf numFmtId="0" fontId="90" fillId="5" borderId="1" xfId="1169" applyFont="1" applyFill="1" applyBorder="1" applyAlignment="1" applyProtection="1">
      <alignment horizontal="left" vertical="distributed"/>
    </xf>
    <xf numFmtId="0" fontId="101" fillId="5" borderId="1" xfId="1169" applyFont="1" applyFill="1" applyBorder="1" applyAlignment="1" applyProtection="1">
      <alignment horizontal="center" vertical="center" wrapText="1"/>
    </xf>
    <xf numFmtId="0" fontId="7" fillId="0" borderId="0" xfId="1169" applyFont="1" applyFill="1" applyProtection="1">
      <protection locked="0"/>
    </xf>
    <xf numFmtId="0" fontId="7" fillId="0" borderId="0" xfId="1169" applyFont="1" applyFill="1" applyProtection="1"/>
    <xf numFmtId="0" fontId="88" fillId="2" borderId="1" xfId="1169" applyFont="1" applyFill="1" applyBorder="1" applyAlignment="1" applyProtection="1">
      <alignment horizontal="center" vertical="center" wrapText="1"/>
    </xf>
    <xf numFmtId="0" fontId="107" fillId="0" borderId="0" xfId="1169" applyFont="1" applyProtection="1">
      <protection locked="0"/>
    </xf>
    <xf numFmtId="0" fontId="7" fillId="0" borderId="0" xfId="1169" applyProtection="1">
      <protection locked="0"/>
    </xf>
    <xf numFmtId="0" fontId="7" fillId="0" borderId="0" xfId="1169" applyAlignment="1" applyProtection="1">
      <alignment horizontal="center"/>
    </xf>
    <xf numFmtId="0" fontId="7" fillId="0" borderId="0" xfId="1169" applyProtection="1"/>
    <xf numFmtId="193" fontId="54" fillId="4" borderId="1" xfId="1219" applyNumberFormat="1" applyFont="1" applyFill="1" applyBorder="1" applyAlignment="1" applyProtection="1">
      <alignment horizontal="center" vertical="center" wrapText="1"/>
      <protection locked="0"/>
    </xf>
    <xf numFmtId="193" fontId="54" fillId="6" borderId="1" xfId="1219" applyNumberFormat="1" applyFont="1" applyFill="1" applyBorder="1" applyAlignment="1" applyProtection="1">
      <alignment horizontal="center" vertical="center" wrapText="1"/>
      <protection locked="0"/>
    </xf>
    <xf numFmtId="194" fontId="54" fillId="6" borderId="1" xfId="1219" applyNumberFormat="1" applyFont="1" applyFill="1" applyBorder="1" applyAlignment="1" applyProtection="1">
      <alignment horizontal="center" vertical="center" wrapText="1"/>
      <protection locked="0"/>
    </xf>
    <xf numFmtId="193" fontId="54" fillId="3" borderId="1" xfId="1329" applyNumberFormat="1" applyFont="1" applyFill="1" applyBorder="1" applyAlignment="1" applyProtection="1">
      <alignment horizontal="center" vertical="center" wrapText="1"/>
    </xf>
    <xf numFmtId="4" fontId="54" fillId="5" borderId="1" xfId="1219" applyNumberFormat="1" applyFont="1" applyFill="1" applyBorder="1" applyAlignment="1" applyProtection="1">
      <alignment horizontal="center" vertical="center" wrapText="1"/>
    </xf>
    <xf numFmtId="0" fontId="7" fillId="6" borderId="1" xfId="1169" applyFill="1" applyBorder="1" applyProtection="1">
      <protection locked="0"/>
    </xf>
    <xf numFmtId="0" fontId="7" fillId="0" borderId="0" xfId="1169" applyFill="1" applyProtection="1">
      <protection locked="0"/>
    </xf>
    <xf numFmtId="0" fontId="102" fillId="6" borderId="1" xfId="1169" applyFont="1" applyFill="1" applyBorder="1" applyAlignment="1" applyProtection="1">
      <alignment horizontal="center" vertical="center" wrapText="1" shrinkToFit="1"/>
      <protection locked="0"/>
    </xf>
    <xf numFmtId="16" fontId="101" fillId="5" borderId="1" xfId="1169" applyNumberFormat="1" applyFont="1" applyFill="1" applyBorder="1" applyAlignment="1" applyProtection="1">
      <alignment horizontal="center"/>
    </xf>
    <xf numFmtId="0" fontId="101" fillId="5" borderId="1" xfId="1169" applyFont="1" applyFill="1" applyBorder="1" applyAlignment="1" applyProtection="1">
      <alignment horizontal="left" vertical="distributed"/>
    </xf>
    <xf numFmtId="0" fontId="112" fillId="5" borderId="1" xfId="1169" applyFont="1" applyFill="1" applyBorder="1" applyAlignment="1" applyProtection="1">
      <alignment horizontal="left" vertical="distributed"/>
    </xf>
    <xf numFmtId="0" fontId="90" fillId="5" borderId="1" xfId="1169" applyFont="1" applyFill="1" applyBorder="1" applyAlignment="1" applyProtection="1">
      <alignment horizontal="left" vertical="center" wrapText="1"/>
    </xf>
    <xf numFmtId="0" fontId="90" fillId="5" borderId="1" xfId="1169" applyFont="1" applyFill="1" applyBorder="1" applyAlignment="1" applyProtection="1">
      <alignment horizontal="left" vertical="distributed" wrapText="1"/>
    </xf>
    <xf numFmtId="188" fontId="101" fillId="52" borderId="1" xfId="1169" applyNumberFormat="1" applyFont="1" applyFill="1" applyBorder="1" applyAlignment="1" applyProtection="1">
      <alignment horizontal="center" vertical="center"/>
      <protection locked="0"/>
    </xf>
    <xf numFmtId="0" fontId="7" fillId="0" borderId="0" xfId="1203" applyFont="1" applyFill="1" applyBorder="1" applyAlignment="1" applyProtection="1">
      <alignment vertical="top" wrapText="1"/>
      <protection locked="0"/>
    </xf>
    <xf numFmtId="1" fontId="7" fillId="0" borderId="0" xfId="1203" applyNumberFormat="1" applyFont="1" applyFill="1" applyBorder="1" applyAlignment="1" applyProtection="1">
      <alignment vertical="top" wrapText="1"/>
      <protection locked="0"/>
    </xf>
    <xf numFmtId="49" fontId="8" fillId="0" borderId="0" xfId="1203" applyNumberFormat="1" applyFont="1" applyFill="1" applyBorder="1" applyAlignment="1" applyProtection="1">
      <alignment horizontal="center" wrapText="1"/>
    </xf>
    <xf numFmtId="3" fontId="8" fillId="0" borderId="0" xfId="1203" applyNumberFormat="1" applyFont="1" applyFill="1" applyBorder="1" applyAlignment="1" applyProtection="1">
      <alignment wrapText="1"/>
    </xf>
    <xf numFmtId="3" fontId="93" fillId="0" borderId="0" xfId="1203" applyNumberFormat="1" applyFont="1" applyFill="1" applyBorder="1" applyAlignment="1" applyProtection="1"/>
    <xf numFmtId="0" fontId="7" fillId="0" borderId="0" xfId="1203" applyFont="1" applyAlignment="1" applyProtection="1">
      <alignment vertical="top" wrapText="1"/>
      <protection locked="0"/>
    </xf>
    <xf numFmtId="0" fontId="7" fillId="5" borderId="1" xfId="1203" applyFont="1" applyFill="1" applyBorder="1" applyAlignment="1" applyProtection="1">
      <alignment horizontal="center" vertical="center" wrapText="1"/>
    </xf>
    <xf numFmtId="49" fontId="8" fillId="5" borderId="1" xfId="1203" applyNumberFormat="1" applyFont="1" applyFill="1" applyBorder="1" applyAlignment="1" applyProtection="1">
      <alignment vertical="center" wrapText="1"/>
    </xf>
    <xf numFmtId="49" fontId="8" fillId="5" borderId="1" xfId="1203" applyNumberFormat="1" applyFont="1" applyFill="1" applyBorder="1" applyAlignment="1" applyProtection="1">
      <alignment horizontal="left" vertical="center" wrapText="1"/>
    </xf>
    <xf numFmtId="49" fontId="7" fillId="5" borderId="1" xfId="1203" applyNumberFormat="1" applyFont="1" applyFill="1" applyBorder="1" applyAlignment="1" applyProtection="1">
      <alignment horizontal="center" vertical="center" wrapText="1"/>
    </xf>
    <xf numFmtId="49" fontId="108" fillId="5" borderId="1" xfId="1203" applyNumberFormat="1" applyFont="1" applyFill="1" applyBorder="1" applyAlignment="1" applyProtection="1">
      <alignment horizontal="left" vertical="center" wrapText="1"/>
    </xf>
    <xf numFmtId="49" fontId="0" fillId="5" borderId="1" xfId="1203" applyNumberFormat="1" applyFont="1" applyFill="1" applyBorder="1" applyAlignment="1" applyProtection="1">
      <alignment horizontal="center" vertical="center" wrapText="1"/>
    </xf>
    <xf numFmtId="49" fontId="7" fillId="5" borderId="1" xfId="1203" applyNumberFormat="1" applyFont="1" applyFill="1" applyBorder="1" applyAlignment="1" applyProtection="1">
      <alignment horizontal="left" vertical="center" wrapText="1" indent="1"/>
    </xf>
    <xf numFmtId="0" fontId="7" fillId="0" borderId="0" xfId="1203" applyFont="1" applyAlignment="1" applyProtection="1">
      <alignment vertical="top" wrapText="1"/>
    </xf>
    <xf numFmtId="0" fontId="108" fillId="0" borderId="0" xfId="1203" applyFont="1" applyAlignment="1" applyProtection="1">
      <alignment vertical="top" wrapText="1"/>
    </xf>
    <xf numFmtId="0" fontId="92" fillId="0" borderId="0" xfId="1203" applyFont="1" applyAlignment="1" applyProtection="1">
      <alignment vertical="top" wrapText="1"/>
      <protection locked="0"/>
    </xf>
    <xf numFmtId="49" fontId="8" fillId="0" borderId="0" xfId="1203" applyNumberFormat="1" applyFont="1" applyFill="1" applyBorder="1" applyAlignment="1" applyProtection="1">
      <alignment wrapText="1"/>
    </xf>
    <xf numFmtId="3" fontId="93" fillId="0" borderId="0" xfId="1203" applyNumberFormat="1" applyFont="1" applyFill="1" applyBorder="1" applyAlignment="1" applyProtection="1">
      <alignment horizontal="left" wrapText="1"/>
    </xf>
    <xf numFmtId="3" fontId="8" fillId="0" borderId="0" xfId="1203" applyNumberFormat="1" applyFont="1" applyFill="1" applyBorder="1" applyAlignment="1" applyProtection="1">
      <alignment horizontal="center" wrapText="1"/>
    </xf>
    <xf numFmtId="1" fontId="8" fillId="0" borderId="0" xfId="1203" applyNumberFormat="1" applyFont="1" applyFill="1" applyBorder="1" applyAlignment="1" applyProtection="1">
      <alignment vertical="center" wrapText="1"/>
    </xf>
    <xf numFmtId="1" fontId="8" fillId="0" borderId="0" xfId="1203" applyNumberFormat="1" applyFont="1" applyFill="1" applyBorder="1" applyAlignment="1" applyProtection="1">
      <alignment horizontal="left" vertical="center"/>
    </xf>
    <xf numFmtId="1" fontId="7" fillId="0" borderId="0" xfId="1203" applyNumberFormat="1" applyFont="1" applyFill="1" applyBorder="1" applyAlignment="1" applyProtection="1">
      <alignment horizontal="center" vertical="center" wrapText="1"/>
    </xf>
    <xf numFmtId="49" fontId="114" fillId="5" borderId="1" xfId="1203" applyNumberFormat="1" applyFont="1" applyFill="1" applyBorder="1" applyAlignment="1" applyProtection="1">
      <alignment horizontal="center" vertical="center" wrapText="1"/>
    </xf>
    <xf numFmtId="0" fontId="8" fillId="0" borderId="0" xfId="1203" applyFont="1" applyFill="1" applyBorder="1" applyAlignment="1" applyProtection="1">
      <alignment vertical="top" wrapText="1"/>
      <protection locked="0"/>
    </xf>
    <xf numFmtId="1" fontId="7" fillId="5" borderId="1" xfId="1203" applyNumberFormat="1" applyFont="1" applyFill="1" applyBorder="1" applyAlignment="1" applyProtection="1">
      <alignment horizontal="center" vertical="center" wrapText="1"/>
    </xf>
    <xf numFmtId="3" fontId="93" fillId="0" borderId="0" xfId="1203" applyNumberFormat="1" applyFont="1" applyFill="1" applyBorder="1" applyAlignment="1" applyProtection="1">
      <alignment wrapText="1"/>
    </xf>
    <xf numFmtId="4" fontId="7" fillId="5" borderId="21" xfId="1203" applyNumberFormat="1" applyFont="1" applyFill="1" applyBorder="1" applyAlignment="1" applyProtection="1">
      <alignment horizontal="center" vertical="center" wrapText="1"/>
    </xf>
    <xf numFmtId="4" fontId="8" fillId="5" borderId="30" xfId="1203" applyNumberFormat="1" applyFont="1" applyFill="1" applyBorder="1" applyAlignment="1" applyProtection="1">
      <alignment horizontal="center" vertical="center" wrapText="1"/>
    </xf>
    <xf numFmtId="0" fontId="5" fillId="5" borderId="1" xfId="1169" applyFont="1" applyFill="1" applyBorder="1" applyAlignment="1" applyProtection="1">
      <alignment horizontal="center" vertical="center"/>
    </xf>
    <xf numFmtId="0" fontId="5" fillId="5" borderId="1" xfId="1169" applyFont="1" applyFill="1" applyBorder="1" applyAlignment="1" applyProtection="1">
      <alignment horizontal="left" vertical="center"/>
    </xf>
    <xf numFmtId="2" fontId="5" fillId="5" borderId="1" xfId="1169" applyNumberFormat="1" applyFont="1" applyFill="1" applyBorder="1" applyAlignment="1" applyProtection="1">
      <alignment horizontal="left" vertical="center" wrapText="1"/>
    </xf>
    <xf numFmtId="4" fontId="94" fillId="48" borderId="1" xfId="1169" applyNumberFormat="1" applyFont="1" applyFill="1" applyBorder="1" applyAlignment="1" applyProtection="1">
      <alignment horizontal="center" vertical="center" wrapText="1"/>
      <protection locked="0"/>
    </xf>
    <xf numFmtId="187" fontId="94" fillId="52" borderId="1" xfId="1169" applyNumberFormat="1" applyFont="1" applyFill="1" applyBorder="1" applyAlignment="1" applyProtection="1">
      <alignment horizontal="center" vertical="center" wrapText="1"/>
      <protection locked="0"/>
    </xf>
    <xf numFmtId="0" fontId="6" fillId="5" borderId="1" xfId="1169" applyFont="1" applyFill="1" applyBorder="1" applyAlignment="1" applyProtection="1">
      <alignment horizontal="left" vertical="center"/>
    </xf>
    <xf numFmtId="2" fontId="6" fillId="5" borderId="1" xfId="1169" applyNumberFormat="1" applyFont="1" applyFill="1" applyBorder="1" applyAlignment="1" applyProtection="1">
      <alignment horizontal="left" vertical="center" wrapText="1"/>
    </xf>
    <xf numFmtId="49" fontId="88" fillId="5" borderId="26" xfId="1203" applyNumberFormat="1" applyFont="1" applyFill="1" applyBorder="1" applyAlignment="1" applyProtection="1">
      <alignment vertical="center" wrapText="1"/>
    </xf>
    <xf numFmtId="49" fontId="88" fillId="5" borderId="26" xfId="1203" applyNumberFormat="1" applyFont="1" applyFill="1" applyBorder="1" applyAlignment="1" applyProtection="1">
      <alignment horizontal="center" vertical="center" wrapText="1"/>
    </xf>
    <xf numFmtId="49" fontId="88" fillId="0" borderId="0" xfId="1203" applyNumberFormat="1" applyFont="1" applyFill="1" applyBorder="1" applyAlignment="1" applyProtection="1">
      <alignment vertical="center" wrapText="1"/>
    </xf>
    <xf numFmtId="2" fontId="5" fillId="0" borderId="0" xfId="1203" applyNumberFormat="1" applyFont="1" applyFill="1" applyBorder="1" applyAlignment="1" applyProtection="1">
      <alignment horizontal="center" vertical="center" wrapText="1"/>
    </xf>
    <xf numFmtId="0" fontId="92" fillId="0" borderId="0" xfId="1203" applyFont="1" applyFill="1" applyAlignment="1" applyProtection="1">
      <alignment vertical="top" wrapText="1"/>
      <protection locked="0"/>
    </xf>
    <xf numFmtId="49" fontId="92" fillId="5" borderId="1" xfId="1169" applyNumberFormat="1" applyFont="1" applyFill="1" applyBorder="1" applyAlignment="1" applyProtection="1">
      <alignment horizontal="center" vertical="center" wrapText="1"/>
    </xf>
    <xf numFmtId="1" fontId="8" fillId="5" borderId="1" xfId="1203" applyNumberFormat="1" applyFont="1" applyFill="1" applyBorder="1" applyAlignment="1" applyProtection="1">
      <alignment horizontal="left" vertical="center"/>
    </xf>
    <xf numFmtId="0" fontId="116" fillId="54" borderId="1" xfId="1169" applyFont="1" applyFill="1" applyBorder="1" applyAlignment="1" applyProtection="1">
      <alignment horizontal="center" vertical="center" wrapText="1"/>
    </xf>
    <xf numFmtId="1" fontId="116" fillId="0" borderId="1" xfId="1169" applyNumberFormat="1" applyFont="1" applyBorder="1" applyAlignment="1" applyProtection="1">
      <alignment horizontal="center" vertical="center" wrapText="1"/>
    </xf>
    <xf numFmtId="0" fontId="5" fillId="0" borderId="1" xfId="1169" applyFont="1" applyBorder="1" applyAlignment="1" applyProtection="1">
      <alignment vertical="center" wrapText="1"/>
    </xf>
    <xf numFmtId="0" fontId="8" fillId="5" borderId="29" xfId="1203" applyFont="1" applyFill="1" applyBorder="1" applyAlignment="1" applyProtection="1">
      <alignment horizontal="left" vertical="center" wrapText="1"/>
    </xf>
    <xf numFmtId="0" fontId="8" fillId="0" borderId="0" xfId="1169" applyFont="1" applyFill="1" applyAlignment="1" applyProtection="1">
      <alignment horizontal="center"/>
      <protection locked="0"/>
    </xf>
    <xf numFmtId="0" fontId="118" fillId="0" borderId="0" xfId="1169" applyFont="1" applyFill="1" applyAlignment="1" applyProtection="1">
      <protection locked="0"/>
    </xf>
    <xf numFmtId="0" fontId="7" fillId="0" borderId="0" xfId="1169" applyFont="1" applyFill="1" applyAlignment="1" applyProtection="1">
      <protection locked="0"/>
    </xf>
    <xf numFmtId="0" fontId="8" fillId="2" borderId="0" xfId="1169" applyFont="1" applyFill="1" applyBorder="1" applyAlignment="1" applyProtection="1">
      <alignment horizontal="center" wrapText="1"/>
    </xf>
    <xf numFmtId="0" fontId="8" fillId="2" borderId="0" xfId="1169" applyFont="1" applyFill="1" applyBorder="1" applyAlignment="1" applyProtection="1">
      <alignment horizontal="center"/>
    </xf>
    <xf numFmtId="0" fontId="7" fillId="0" borderId="0" xfId="1169" applyFont="1" applyAlignment="1" applyProtection="1">
      <protection locked="0"/>
    </xf>
    <xf numFmtId="0" fontId="7" fillId="5" borderId="1" xfId="1169" applyFont="1" applyFill="1" applyBorder="1" applyAlignment="1" applyProtection="1"/>
    <xf numFmtId="1" fontId="8" fillId="5" borderId="1" xfId="1169" applyNumberFormat="1" applyFont="1" applyFill="1" applyBorder="1" applyAlignment="1" applyProtection="1">
      <alignment horizontal="left" vertical="center" wrapText="1"/>
    </xf>
    <xf numFmtId="0" fontId="8" fillId="5" borderId="1" xfId="1169" applyFont="1" applyFill="1" applyBorder="1" applyAlignment="1" applyProtection="1">
      <alignment wrapText="1"/>
    </xf>
    <xf numFmtId="0" fontId="7" fillId="48" borderId="1" xfId="1169" applyNumberFormat="1" applyFont="1" applyFill="1" applyBorder="1" applyAlignment="1" applyProtection="1">
      <alignment horizontal="center" wrapText="1"/>
      <protection locked="0"/>
    </xf>
    <xf numFmtId="2" fontId="7" fillId="3" borderId="1" xfId="1169" applyNumberFormat="1" applyFont="1" applyFill="1" applyBorder="1" applyAlignment="1" applyProtection="1">
      <alignment horizontal="center"/>
    </xf>
    <xf numFmtId="0" fontId="7" fillId="0" borderId="0" xfId="1169" applyFont="1" applyAlignment="1" applyProtection="1">
      <alignment horizontal="center"/>
      <protection locked="0"/>
    </xf>
    <xf numFmtId="0" fontId="119" fillId="0" borderId="0" xfId="1169" applyFont="1" applyFill="1" applyProtection="1">
      <protection locked="0"/>
    </xf>
    <xf numFmtId="0" fontId="119" fillId="0" borderId="0" xfId="1169" applyFont="1" applyProtection="1">
      <protection locked="0"/>
    </xf>
    <xf numFmtId="0" fontId="109" fillId="0" borderId="0" xfId="1169" applyFont="1" applyProtection="1">
      <protection locked="0"/>
    </xf>
    <xf numFmtId="0" fontId="118" fillId="5" borderId="1" xfId="1169" applyFont="1" applyFill="1" applyBorder="1" applyAlignment="1" applyProtection="1">
      <alignment horizontal="center" wrapText="1"/>
    </xf>
    <xf numFmtId="0" fontId="7" fillId="5" borderId="1" xfId="1169" applyFont="1" applyFill="1" applyBorder="1" applyAlignment="1" applyProtection="1">
      <alignment horizontal="center" wrapText="1"/>
    </xf>
    <xf numFmtId="0" fontId="118" fillId="0" borderId="0" xfId="1169" applyFont="1" applyFill="1" applyProtection="1">
      <protection locked="0"/>
    </xf>
    <xf numFmtId="0" fontId="7" fillId="5" borderId="26" xfId="1169" applyFont="1" applyFill="1" applyBorder="1" applyAlignment="1" applyProtection="1"/>
    <xf numFmtId="1" fontId="8" fillId="5" borderId="5" xfId="1169" applyNumberFormat="1" applyFont="1" applyFill="1" applyBorder="1" applyAlignment="1" applyProtection="1">
      <alignment horizontal="left" vertical="center" wrapText="1"/>
    </xf>
    <xf numFmtId="0" fontId="7" fillId="0" borderId="0" xfId="1169" applyFont="1" applyFill="1" applyAlignment="1" applyProtection="1">
      <alignment vertical="center"/>
    </xf>
    <xf numFmtId="0" fontId="8" fillId="0" borderId="0" xfId="1169" applyFont="1" applyFill="1" applyAlignment="1" applyProtection="1">
      <alignment vertical="center"/>
    </xf>
    <xf numFmtId="49" fontId="93" fillId="0" borderId="0" xfId="1169" applyNumberFormat="1" applyFont="1" applyFill="1" applyAlignment="1" applyProtection="1">
      <alignment vertical="center"/>
    </xf>
    <xf numFmtId="2" fontId="93" fillId="0" borderId="0" xfId="1169" applyNumberFormat="1" applyFont="1" applyFill="1" applyAlignment="1" applyProtection="1">
      <alignment vertical="center"/>
    </xf>
    <xf numFmtId="0" fontId="93" fillId="0" borderId="0" xfId="1169" applyFont="1" applyFill="1" applyAlignment="1" applyProtection="1">
      <alignment vertical="center"/>
    </xf>
    <xf numFmtId="1" fontId="7" fillId="0" borderId="0" xfId="1169" applyNumberFormat="1" applyFont="1" applyFill="1" applyAlignment="1" applyProtection="1">
      <alignment vertical="center"/>
    </xf>
    <xf numFmtId="0" fontId="120" fillId="0" borderId="0" xfId="1169" applyFont="1" applyFill="1" applyProtection="1">
      <protection locked="0"/>
    </xf>
    <xf numFmtId="0" fontId="8" fillId="0" borderId="0" xfId="1203" applyFont="1" applyFill="1" applyBorder="1" applyAlignment="1" applyProtection="1">
      <alignment vertical="top" wrapText="1"/>
    </xf>
    <xf numFmtId="0" fontId="120" fillId="0" borderId="0" xfId="1169" applyFont="1" applyProtection="1">
      <protection locked="0"/>
    </xf>
    <xf numFmtId="4" fontId="8" fillId="3" borderId="1" xfId="1203" applyNumberFormat="1" applyFont="1" applyFill="1" applyBorder="1" applyAlignment="1" applyProtection="1">
      <alignment horizontal="center" vertical="center" wrapText="1"/>
    </xf>
    <xf numFmtId="4" fontId="7" fillId="48" borderId="1" xfId="1203" applyNumberFormat="1" applyFont="1" applyFill="1" applyBorder="1" applyAlignment="1" applyProtection="1">
      <alignment horizontal="center" vertical="center" wrapText="1"/>
      <protection locked="0"/>
    </xf>
    <xf numFmtId="4" fontId="8" fillId="52" borderId="1" xfId="1203" applyNumberFormat="1" applyFont="1" applyFill="1" applyBorder="1" applyAlignment="1" applyProtection="1">
      <alignment horizontal="center" vertical="center" wrapText="1"/>
      <protection locked="0"/>
    </xf>
    <xf numFmtId="4" fontId="7" fillId="52" borderId="1" xfId="1203" applyNumberFormat="1" applyFont="1" applyFill="1" applyBorder="1" applyAlignment="1" applyProtection="1">
      <alignment horizontal="center" vertical="center" wrapText="1"/>
      <protection locked="0"/>
    </xf>
    <xf numFmtId="0" fontId="120" fillId="0" borderId="0" xfId="1169" applyFont="1" applyFill="1" applyBorder="1" applyProtection="1">
      <protection locked="0"/>
    </xf>
    <xf numFmtId="0" fontId="8" fillId="0" borderId="0" xfId="1203" applyFont="1" applyFill="1" applyBorder="1" applyAlignment="1" applyProtection="1">
      <alignment vertical="center" wrapText="1"/>
      <protection locked="0"/>
    </xf>
    <xf numFmtId="0" fontId="122" fillId="0" borderId="0" xfId="1169" applyFont="1" applyFill="1" applyBorder="1" applyProtection="1">
      <protection locked="0"/>
    </xf>
    <xf numFmtId="0" fontId="8" fillId="0" borderId="0" xfId="1203" applyFont="1" applyFill="1" applyBorder="1" applyAlignment="1" applyProtection="1">
      <alignment vertical="center" wrapText="1"/>
    </xf>
    <xf numFmtId="49" fontId="8" fillId="0" borderId="0" xfId="1203" applyNumberFormat="1" applyFont="1" applyFill="1" applyBorder="1" applyAlignment="1" applyProtection="1">
      <alignment vertical="center" wrapText="1"/>
    </xf>
    <xf numFmtId="0" fontId="8" fillId="0" borderId="0" xfId="1169" applyFont="1" applyFill="1" applyAlignment="1" applyProtection="1">
      <alignment horizontal="left" vertical="center"/>
    </xf>
    <xf numFmtId="49" fontId="88" fillId="5" borderId="1" xfId="1203" applyNumberFormat="1" applyFont="1" applyFill="1" applyBorder="1" applyAlignment="1" applyProtection="1">
      <alignment vertical="center" wrapText="1"/>
    </xf>
    <xf numFmtId="4" fontId="7" fillId="5" borderId="26" xfId="1203" applyNumberFormat="1" applyFont="1" applyFill="1" applyBorder="1" applyAlignment="1" applyProtection="1">
      <alignment horizontal="center" vertical="center" wrapText="1"/>
    </xf>
    <xf numFmtId="4" fontId="7" fillId="5" borderId="2" xfId="1203" applyNumberFormat="1" applyFont="1" applyFill="1" applyBorder="1" applyAlignment="1" applyProtection="1">
      <alignment horizontal="center" vertical="center" wrapText="1"/>
    </xf>
    <xf numFmtId="0" fontId="120" fillId="0" borderId="0" xfId="1169" applyFont="1" applyFill="1" applyProtection="1"/>
    <xf numFmtId="4" fontId="119" fillId="48" borderId="29" xfId="1203" applyNumberFormat="1" applyFont="1" applyFill="1" applyBorder="1" applyAlignment="1" applyProtection="1">
      <alignment horizontal="left" vertical="center" wrapText="1"/>
      <protection locked="0"/>
    </xf>
    <xf numFmtId="4" fontId="8" fillId="3" borderId="37" xfId="1203" applyNumberFormat="1" applyFont="1" applyFill="1" applyBorder="1" applyAlignment="1" applyProtection="1">
      <alignment horizontal="center" vertical="center" wrapText="1"/>
    </xf>
    <xf numFmtId="49" fontId="93" fillId="0" borderId="0" xfId="1203" applyNumberFormat="1" applyFont="1" applyFill="1" applyBorder="1" applyAlignment="1" applyProtection="1">
      <alignment vertical="center" wrapText="1"/>
    </xf>
    <xf numFmtId="4" fontId="119" fillId="48" borderId="29" xfId="1203" applyNumberFormat="1" applyFont="1" applyFill="1" applyBorder="1" applyAlignment="1" applyProtection="1">
      <alignment horizontal="center" vertical="center" wrapText="1"/>
      <protection locked="0"/>
    </xf>
    <xf numFmtId="4" fontId="119" fillId="52" borderId="1" xfId="1203" applyNumberFormat="1" applyFont="1" applyFill="1" applyBorder="1" applyAlignment="1" applyProtection="1">
      <alignment horizontal="center" vertical="center" wrapText="1"/>
      <protection locked="0"/>
    </xf>
    <xf numFmtId="0" fontId="102" fillId="0" borderId="0" xfId="1169" applyFont="1" applyProtection="1"/>
    <xf numFmtId="0" fontId="7" fillId="0" borderId="0" xfId="1169" applyFont="1" applyFill="1" applyAlignment="1" applyProtection="1">
      <alignment horizontal="center"/>
    </xf>
    <xf numFmtId="0" fontId="102" fillId="0" borderId="0" xfId="1169" applyFont="1" applyAlignment="1" applyProtection="1"/>
    <xf numFmtId="0" fontId="7" fillId="5" borderId="27" xfId="1169" applyFont="1" applyFill="1" applyBorder="1" applyAlignment="1" applyProtection="1">
      <alignment horizontal="center" vertical="center" wrapText="1"/>
    </xf>
    <xf numFmtId="0" fontId="8" fillId="2" borderId="0" xfId="1169" applyFont="1" applyFill="1" applyBorder="1" applyAlignment="1" applyProtection="1">
      <alignment wrapText="1"/>
    </xf>
    <xf numFmtId="0" fontId="102" fillId="0" borderId="0" xfId="1169" applyFont="1" applyProtection="1">
      <protection locked="0"/>
    </xf>
    <xf numFmtId="0" fontId="102" fillId="0" borderId="0" xfId="1169" applyFont="1" applyFill="1" applyAlignment="1" applyProtection="1"/>
    <xf numFmtId="0" fontId="102" fillId="0" borderId="0" xfId="1169" applyFont="1" applyFill="1" applyAlignment="1" applyProtection="1">
      <protection locked="0"/>
    </xf>
    <xf numFmtId="0" fontId="106" fillId="0" borderId="0" xfId="1169" applyFont="1" applyBorder="1" applyAlignment="1" applyProtection="1">
      <alignment horizontal="center" vertical="center" wrapText="1"/>
    </xf>
    <xf numFmtId="0" fontId="102" fillId="0" borderId="0" xfId="1169" applyFont="1" applyBorder="1" applyAlignment="1" applyProtection="1">
      <alignment horizontal="right" vertical="center"/>
    </xf>
    <xf numFmtId="0" fontId="106" fillId="0" borderId="0" xfId="1169" applyFont="1" applyBorder="1" applyAlignment="1" applyProtection="1">
      <alignment horizontal="right" vertical="center"/>
    </xf>
    <xf numFmtId="0" fontId="106" fillId="0" borderId="0" xfId="1169" applyFont="1" applyAlignment="1" applyProtection="1">
      <alignment vertical="center"/>
      <protection locked="0"/>
    </xf>
    <xf numFmtId="0" fontId="106" fillId="3" borderId="1" xfId="1169" applyFont="1" applyFill="1" applyBorder="1" applyProtection="1"/>
    <xf numFmtId="0" fontId="106" fillId="3" borderId="1" xfId="1169" applyFont="1" applyFill="1" applyBorder="1" applyAlignment="1" applyProtection="1">
      <alignment horizontal="center" vertical="center"/>
    </xf>
    <xf numFmtId="14" fontId="102" fillId="6" borderId="1" xfId="1169" applyNumberFormat="1" applyFont="1" applyFill="1" applyBorder="1" applyAlignment="1" applyProtection="1">
      <alignment horizontal="center" vertical="center" wrapText="1" shrinkToFit="1"/>
      <protection locked="0"/>
    </xf>
    <xf numFmtId="195" fontId="106" fillId="0" borderId="0" xfId="1169" applyNumberFormat="1" applyFont="1" applyBorder="1" applyAlignment="1" applyProtection="1">
      <alignment horizontal="center" vertical="center" wrapText="1"/>
    </xf>
    <xf numFmtId="195" fontId="106" fillId="5" borderId="0" xfId="1169" applyNumberFormat="1" applyFont="1" applyFill="1" applyBorder="1" applyAlignment="1" applyProtection="1">
      <alignment horizontal="center" vertical="center" wrapText="1"/>
    </xf>
    <xf numFmtId="4" fontId="102" fillId="6" borderId="1" xfId="1169" applyNumberFormat="1" applyFont="1" applyFill="1" applyBorder="1" applyAlignment="1" applyProtection="1">
      <alignment horizontal="center" vertical="center" wrapText="1" shrinkToFit="1"/>
      <protection locked="0"/>
    </xf>
    <xf numFmtId="0" fontId="8" fillId="0" borderId="0" xfId="1169" applyFont="1" applyAlignment="1" applyProtection="1">
      <alignment vertical="top"/>
    </xf>
    <xf numFmtId="1" fontId="93" fillId="0" borderId="0" xfId="1169" applyNumberFormat="1" applyFont="1" applyFill="1" applyAlignment="1" applyProtection="1">
      <alignment vertical="center"/>
    </xf>
    <xf numFmtId="1" fontId="106" fillId="0" borderId="0" xfId="1169" applyNumberFormat="1" applyFont="1" applyFill="1" applyAlignment="1" applyProtection="1"/>
    <xf numFmtId="49" fontId="106" fillId="0" borderId="0" xfId="1169" applyNumberFormat="1" applyFont="1" applyFill="1" applyAlignment="1" applyProtection="1">
      <alignment vertical="center" wrapText="1"/>
    </xf>
    <xf numFmtId="4" fontId="102" fillId="52" borderId="1" xfId="1169" applyNumberFormat="1" applyFont="1" applyFill="1" applyBorder="1" applyAlignment="1" applyProtection="1">
      <alignment horizontal="center" vertical="center" wrapText="1" shrinkToFit="1"/>
      <protection locked="0"/>
    </xf>
    <xf numFmtId="0" fontId="106" fillId="0" borderId="0" xfId="1169" applyFont="1" applyAlignment="1" applyProtection="1">
      <alignment vertical="center"/>
    </xf>
    <xf numFmtId="191" fontId="106" fillId="0" borderId="0" xfId="1169" applyNumberFormat="1" applyFont="1" applyAlignment="1" applyProtection="1">
      <alignment vertical="center"/>
    </xf>
    <xf numFmtId="0" fontId="102" fillId="0" borderId="0" xfId="1169" applyFont="1" applyAlignment="1" applyProtection="1">
      <protection locked="0"/>
    </xf>
    <xf numFmtId="0" fontId="106" fillId="0" borderId="0" xfId="1169" applyFont="1" applyFill="1" applyAlignment="1" applyProtection="1">
      <alignment vertical="center"/>
    </xf>
    <xf numFmtId="0" fontId="106" fillId="5" borderId="1" xfId="1169" applyFont="1" applyFill="1" applyBorder="1" applyAlignment="1" applyProtection="1">
      <alignment horizontal="center" vertical="center"/>
    </xf>
    <xf numFmtId="4" fontId="102" fillId="0" borderId="0" xfId="1169" applyNumberFormat="1" applyFont="1" applyProtection="1">
      <protection locked="0"/>
    </xf>
    <xf numFmtId="0" fontId="102" fillId="5" borderId="27" xfId="1169" applyFont="1" applyFill="1" applyBorder="1" applyAlignment="1" applyProtection="1">
      <alignment horizontal="center" vertical="center" wrapText="1"/>
    </xf>
    <xf numFmtId="4" fontId="106" fillId="3" borderId="1" xfId="1169" applyNumberFormat="1" applyFont="1" applyFill="1" applyBorder="1" applyAlignment="1" applyProtection="1">
      <alignment horizontal="center"/>
    </xf>
    <xf numFmtId="4" fontId="128" fillId="52" borderId="1" xfId="3" applyNumberFormat="1" applyFont="1" applyFill="1" applyBorder="1" applyAlignment="1" applyProtection="1">
      <alignment horizontal="center" vertical="center" wrapText="1"/>
      <protection locked="0"/>
    </xf>
    <xf numFmtId="4" fontId="7" fillId="48" borderId="1" xfId="0" applyNumberFormat="1" applyFont="1" applyFill="1" applyBorder="1" applyAlignment="1" applyProtection="1">
      <alignment horizontal="center" vertical="center" wrapText="1"/>
      <protection locked="0"/>
    </xf>
    <xf numFmtId="0" fontId="7" fillId="0" borderId="0" xfId="1169" applyAlignment="1" applyProtection="1">
      <alignment vertical="center"/>
      <protection locked="0"/>
    </xf>
    <xf numFmtId="0" fontId="8" fillId="0" borderId="0" xfId="1169" applyFont="1" applyProtection="1">
      <protection locked="0"/>
    </xf>
    <xf numFmtId="4" fontId="127" fillId="52" borderId="1" xfId="3" applyNumberFormat="1" applyFont="1" applyFill="1" applyBorder="1" applyAlignment="1" applyProtection="1">
      <alignment horizontal="center" vertical="center" wrapText="1"/>
      <protection locked="0"/>
    </xf>
    <xf numFmtId="4" fontId="128" fillId="52" borderId="1" xfId="1169" applyNumberFormat="1" applyFont="1" applyFill="1" applyBorder="1" applyAlignment="1" applyProtection="1">
      <alignment horizontal="center" vertical="center" wrapText="1"/>
      <protection locked="0"/>
    </xf>
    <xf numFmtId="0" fontId="8" fillId="5" borderId="1" xfId="1440" applyFont="1" applyFill="1" applyBorder="1" applyAlignment="1" applyProtection="1">
      <alignment horizontal="left" vertical="center" wrapText="1"/>
    </xf>
    <xf numFmtId="2" fontId="8" fillId="3" borderId="1" xfId="1440" applyNumberFormat="1" applyFont="1" applyFill="1" applyBorder="1" applyAlignment="1" applyProtection="1">
      <alignment horizontal="center" vertical="center" wrapText="1"/>
    </xf>
    <xf numFmtId="0" fontId="7" fillId="5" borderId="1" xfId="1440" applyFont="1" applyFill="1" applyBorder="1" applyAlignment="1" applyProtection="1">
      <alignment horizontal="left" vertical="center" wrapText="1" indent="2"/>
    </xf>
    <xf numFmtId="0" fontId="7" fillId="5" borderId="1" xfId="1440" applyFont="1" applyFill="1" applyBorder="1" applyAlignment="1" applyProtection="1">
      <alignment horizontal="center" vertical="center" wrapText="1"/>
    </xf>
    <xf numFmtId="0" fontId="7" fillId="5" borderId="1" xfId="1440" applyFont="1" applyFill="1" applyBorder="1" applyAlignment="1" applyProtection="1">
      <alignment horizontal="left" vertical="center" wrapText="1"/>
    </xf>
    <xf numFmtId="2" fontId="7" fillId="5" borderId="1" xfId="1440" applyNumberFormat="1" applyFont="1" applyFill="1" applyBorder="1" applyAlignment="1" applyProtection="1">
      <alignment horizontal="center" vertical="center" wrapText="1"/>
    </xf>
    <xf numFmtId="188" fontId="7" fillId="5" borderId="1" xfId="1440" applyNumberFormat="1" applyFont="1" applyFill="1" applyBorder="1" applyAlignment="1" applyProtection="1">
      <alignment horizontal="center" vertical="center" wrapText="1"/>
    </xf>
    <xf numFmtId="2" fontId="7" fillId="52" borderId="1" xfId="1440" applyNumberFormat="1" applyFont="1" applyFill="1" applyBorder="1" applyAlignment="1" applyProtection="1">
      <alignment horizontal="center" vertical="center" wrapText="1"/>
      <protection locked="0"/>
    </xf>
    <xf numFmtId="2" fontId="8" fillId="52" borderId="1" xfId="1440" applyNumberFormat="1" applyFont="1" applyFill="1" applyBorder="1" applyAlignment="1" applyProtection="1">
      <alignment horizontal="center" vertical="center" wrapText="1"/>
      <protection locked="0"/>
    </xf>
    <xf numFmtId="49" fontId="7" fillId="5" borderId="1" xfId="1440" applyNumberFormat="1" applyFont="1" applyFill="1" applyBorder="1" applyAlignment="1" applyProtection="1">
      <alignment horizontal="center" vertical="center" wrapText="1"/>
    </xf>
    <xf numFmtId="16" fontId="7" fillId="5" borderId="1" xfId="1440" applyNumberFormat="1" applyFont="1" applyFill="1" applyBorder="1" applyAlignment="1" applyProtection="1">
      <alignment horizontal="center" vertical="center" wrapText="1"/>
    </xf>
    <xf numFmtId="0" fontId="0" fillId="0" borderId="0" xfId="0" applyProtection="1"/>
    <xf numFmtId="1" fontId="7" fillId="5" borderId="1" xfId="1203" applyNumberFormat="1" applyFont="1" applyFill="1" applyBorder="1" applyAlignment="1" applyProtection="1">
      <alignment horizontal="left" vertical="center" wrapText="1" indent="2"/>
    </xf>
    <xf numFmtId="49" fontId="7" fillId="5" borderId="1" xfId="1169" applyNumberFormat="1" applyFont="1" applyFill="1" applyBorder="1" applyAlignment="1" applyProtection="1">
      <alignment horizontal="center" vertical="center" wrapText="1"/>
    </xf>
    <xf numFmtId="49" fontId="8" fillId="0" borderId="1" xfId="1203" applyNumberFormat="1" applyFont="1" applyFill="1" applyBorder="1" applyAlignment="1" applyProtection="1">
      <alignment horizontal="center" vertical="center" wrapText="1"/>
    </xf>
    <xf numFmtId="0" fontId="115" fillId="0" borderId="0" xfId="1169" applyFont="1" applyAlignment="1" applyProtection="1">
      <alignment vertical="center"/>
    </xf>
    <xf numFmtId="0" fontId="5" fillId="0" borderId="0" xfId="1169" applyFont="1" applyAlignment="1" applyProtection="1"/>
    <xf numFmtId="0" fontId="5" fillId="0" borderId="0" xfId="1169" applyFont="1" applyProtection="1"/>
    <xf numFmtId="0" fontId="115" fillId="0" borderId="0" xfId="1169" applyFont="1" applyFill="1" applyAlignment="1" applyProtection="1">
      <alignment vertical="center"/>
    </xf>
    <xf numFmtId="0" fontId="5" fillId="0" borderId="0" xfId="1169" applyFont="1" applyFill="1" applyAlignment="1" applyProtection="1"/>
    <xf numFmtId="0" fontId="5" fillId="0" borderId="0" xfId="1169" applyFont="1" applyFill="1" applyProtection="1"/>
    <xf numFmtId="0" fontId="139" fillId="0" borderId="0" xfId="1169" applyFont="1" applyBorder="1" applyAlignment="1" applyProtection="1">
      <alignment vertical="center" wrapText="1"/>
      <protection locked="0"/>
    </xf>
    <xf numFmtId="0" fontId="5" fillId="0" borderId="0" xfId="1169" applyFont="1" applyAlignment="1" applyProtection="1">
      <alignment vertical="center" wrapText="1"/>
    </xf>
    <xf numFmtId="0" fontId="5" fillId="0" borderId="0" xfId="1169" applyFont="1" applyFill="1" applyAlignment="1" applyProtection="1">
      <alignment vertical="center" wrapText="1"/>
    </xf>
    <xf numFmtId="0" fontId="5" fillId="0" borderId="0" xfId="1169" applyFont="1" applyFill="1" applyBorder="1" applyAlignment="1" applyProtection="1">
      <alignment vertical="center"/>
    </xf>
    <xf numFmtId="0" fontId="7" fillId="0" borderId="0" xfId="1169" applyAlignment="1" applyProtection="1">
      <alignment horizontal="center"/>
      <protection locked="0"/>
    </xf>
    <xf numFmtId="0" fontId="116" fillId="0" borderId="26" xfId="1169" applyFont="1" applyBorder="1" applyAlignment="1" applyProtection="1">
      <alignment vertical="center" wrapText="1"/>
    </xf>
    <xf numFmtId="14" fontId="116" fillId="0" borderId="5" xfId="1169" applyNumberFormat="1" applyFont="1" applyBorder="1" applyAlignment="1" applyProtection="1">
      <alignment horizontal="center" vertical="center" wrapText="1"/>
    </xf>
    <xf numFmtId="0" fontId="116" fillId="0" borderId="5" xfId="1169" applyFont="1" applyBorder="1" applyAlignment="1" applyProtection="1">
      <alignment vertical="center" wrapText="1"/>
    </xf>
    <xf numFmtId="0" fontId="5" fillId="0" borderId="0" xfId="1169" applyFont="1" applyAlignment="1" applyProtection="1">
      <alignment horizontal="right" vertical="center" wrapText="1"/>
      <protection locked="0"/>
    </xf>
    <xf numFmtId="0" fontId="116" fillId="0" borderId="27" xfId="1169" applyFont="1" applyBorder="1" applyAlignment="1" applyProtection="1">
      <alignment vertical="center" wrapText="1"/>
    </xf>
    <xf numFmtId="4" fontId="7" fillId="0" borderId="1" xfId="1169" applyNumberFormat="1" applyFont="1" applyBorder="1" applyAlignment="1" applyProtection="1">
      <alignment horizontal="center" vertical="center" wrapText="1"/>
    </xf>
    <xf numFmtId="4" fontId="0" fillId="48" borderId="1" xfId="1204" applyNumberFormat="1" applyFont="1" applyFill="1" applyBorder="1" applyAlignment="1" applyProtection="1">
      <alignment horizontal="center" vertical="center" wrapText="1"/>
      <protection locked="0"/>
    </xf>
    <xf numFmtId="4" fontId="115" fillId="0" borderId="1" xfId="1169" applyNumberFormat="1" applyFont="1" applyBorder="1" applyAlignment="1" applyProtection="1">
      <alignment horizontal="center" vertical="center" wrapText="1"/>
    </xf>
    <xf numFmtId="0" fontId="115" fillId="0" borderId="0" xfId="1169" applyFont="1" applyBorder="1" applyAlignment="1" applyProtection="1">
      <alignment vertical="center"/>
    </xf>
    <xf numFmtId="0" fontId="115" fillId="0" borderId="1" xfId="1169" applyFont="1" applyFill="1" applyBorder="1" applyAlignment="1" applyProtection="1">
      <alignment horizontal="center" vertical="center" wrapText="1"/>
    </xf>
    <xf numFmtId="0" fontId="115" fillId="0" borderId="0" xfId="1169" applyFont="1" applyFill="1" applyBorder="1" applyAlignment="1" applyProtection="1">
      <alignment vertical="center"/>
    </xf>
    <xf numFmtId="1" fontId="116" fillId="0" borderId="1" xfId="1169" applyNumberFormat="1" applyFont="1" applyFill="1" applyBorder="1" applyAlignment="1" applyProtection="1">
      <alignment horizontal="center" vertical="center" wrapText="1"/>
    </xf>
    <xf numFmtId="0" fontId="5" fillId="0" borderId="1" xfId="1169" applyFont="1" applyFill="1" applyBorder="1" applyAlignment="1" applyProtection="1">
      <alignment vertical="center" wrapText="1"/>
    </xf>
    <xf numFmtId="4" fontId="7" fillId="0" borderId="0" xfId="1169" applyNumberFormat="1" applyFont="1" applyFill="1" applyBorder="1" applyAlignment="1" applyProtection="1">
      <alignment horizontal="center" vertical="center" wrapText="1"/>
    </xf>
    <xf numFmtId="0" fontId="141" fillId="0" borderId="0" xfId="1169" applyFont="1" applyFill="1" applyAlignment="1" applyProtection="1">
      <alignment vertical="center"/>
    </xf>
    <xf numFmtId="0" fontId="7" fillId="0" borderId="0" xfId="1169" applyFont="1" applyFill="1" applyAlignment="1" applyProtection="1"/>
    <xf numFmtId="0" fontId="7" fillId="0" borderId="0" xfId="1169" applyFont="1" applyFill="1" applyAlignment="1" applyProtection="1">
      <alignment vertical="center" wrapText="1"/>
    </xf>
    <xf numFmtId="0" fontId="142" fillId="0" borderId="26" xfId="1169" applyFont="1" applyFill="1" applyBorder="1" applyAlignment="1" applyProtection="1">
      <alignment vertical="center" wrapText="1"/>
    </xf>
    <xf numFmtId="14" fontId="142" fillId="0" borderId="5" xfId="1169" applyNumberFormat="1" applyFont="1" applyFill="1" applyBorder="1" applyAlignment="1" applyProtection="1">
      <alignment horizontal="center" vertical="center" wrapText="1"/>
    </xf>
    <xf numFmtId="0" fontId="142" fillId="0" borderId="5" xfId="1169" applyFont="1" applyFill="1" applyBorder="1" applyAlignment="1" applyProtection="1">
      <alignment vertical="center" wrapText="1"/>
    </xf>
    <xf numFmtId="0" fontId="7" fillId="0" borderId="0" xfId="1169" applyFont="1" applyFill="1" applyBorder="1" applyAlignment="1" applyProtection="1">
      <alignment vertical="center" wrapText="1"/>
    </xf>
    <xf numFmtId="0" fontId="142" fillId="0" borderId="0" xfId="1169" applyFont="1" applyFill="1" applyBorder="1" applyAlignment="1" applyProtection="1">
      <alignment horizontal="center" vertical="center" wrapText="1"/>
    </xf>
    <xf numFmtId="0" fontId="7" fillId="0" borderId="0" xfId="1169" applyFont="1" applyFill="1" applyBorder="1" applyAlignment="1" applyProtection="1">
      <alignment horizontal="left" vertical="center" wrapText="1"/>
    </xf>
    <xf numFmtId="0" fontId="141" fillId="0" borderId="0" xfId="1169" applyFont="1" applyAlignment="1" applyProtection="1">
      <alignment vertical="center"/>
    </xf>
    <xf numFmtId="0" fontId="141" fillId="0" borderId="0" xfId="1169" applyFont="1" applyFill="1" applyBorder="1" applyAlignment="1" applyProtection="1">
      <alignment vertical="center"/>
    </xf>
    <xf numFmtId="0" fontId="141" fillId="0" borderId="1" xfId="1169" applyFont="1" applyBorder="1" applyAlignment="1" applyProtection="1">
      <alignment horizontal="center" vertical="center" wrapText="1"/>
    </xf>
    <xf numFmtId="2" fontId="142" fillId="0" borderId="0" xfId="1169" applyNumberFormat="1" applyFont="1" applyFill="1" applyBorder="1" applyAlignment="1" applyProtection="1">
      <alignment horizontal="center" vertical="center" wrapText="1"/>
    </xf>
    <xf numFmtId="0" fontId="7" fillId="0" borderId="0" xfId="1169" applyFont="1" applyFill="1" applyBorder="1" applyAlignment="1" applyProtection="1">
      <alignment horizontal="center" vertical="center" wrapText="1"/>
    </xf>
    <xf numFmtId="49" fontId="143" fillId="58" borderId="41" xfId="1169" applyNumberFormat="1" applyFont="1" applyFill="1" applyBorder="1" applyAlignment="1" applyProtection="1">
      <alignment horizontal="center" vertical="center" wrapText="1"/>
    </xf>
    <xf numFmtId="49" fontId="143" fillId="58" borderId="42" xfId="1169" applyNumberFormat="1" applyFont="1" applyFill="1" applyBorder="1" applyAlignment="1" applyProtection="1">
      <alignment horizontal="center" vertical="center" wrapText="1"/>
    </xf>
    <xf numFmtId="14" fontId="143" fillId="52" borderId="41" xfId="1169" applyNumberFormat="1" applyFont="1" applyFill="1" applyBorder="1" applyAlignment="1" applyProtection="1">
      <alignment horizontal="center" vertical="center"/>
      <protection locked="0"/>
    </xf>
    <xf numFmtId="49" fontId="143" fillId="52" borderId="41" xfId="1169" applyNumberFormat="1" applyFont="1" applyFill="1" applyBorder="1" applyAlignment="1" applyProtection="1">
      <alignment horizontal="center" vertical="center" wrapText="1"/>
      <protection locked="0"/>
    </xf>
    <xf numFmtId="2" fontId="143" fillId="59" borderId="41" xfId="1169" applyNumberFormat="1" applyFont="1" applyFill="1" applyBorder="1" applyAlignment="1" applyProtection="1">
      <alignment horizontal="center" vertical="center" wrapText="1"/>
    </xf>
    <xf numFmtId="2" fontId="95" fillId="0" borderId="0" xfId="1169" applyNumberFormat="1" applyFont="1" applyBorder="1" applyAlignment="1" applyProtection="1">
      <alignment horizontal="center" vertical="center" wrapText="1"/>
    </xf>
    <xf numFmtId="4" fontId="0" fillId="52" borderId="49" xfId="0"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xf numFmtId="14" fontId="143" fillId="59" borderId="41" xfId="1169" applyNumberFormat="1" applyFont="1" applyFill="1" applyBorder="1" applyAlignment="1" applyProtection="1">
      <alignment horizontal="center" vertical="center" wrapText="1"/>
    </xf>
    <xf numFmtId="4" fontId="7" fillId="6" borderId="1" xfId="1203" applyNumberFormat="1" applyFont="1" applyFill="1" applyBorder="1" applyAlignment="1" applyProtection="1">
      <alignment horizontal="center" vertical="center" wrapText="1"/>
      <protection locked="0"/>
    </xf>
    <xf numFmtId="4" fontId="7" fillId="6" borderId="29" xfId="1203" applyNumberFormat="1" applyFont="1" applyFill="1" applyBorder="1" applyAlignment="1" applyProtection="1">
      <alignment horizontal="center" vertical="center" wrapText="1"/>
      <protection locked="0"/>
    </xf>
    <xf numFmtId="4" fontId="8" fillId="0" borderId="1" xfId="3" applyNumberFormat="1" applyFont="1" applyFill="1" applyBorder="1" applyAlignment="1" applyProtection="1">
      <alignment horizontal="left" vertical="center" wrapText="1"/>
    </xf>
    <xf numFmtId="4" fontId="8" fillId="0" borderId="1" xfId="3" applyNumberFormat="1" applyFont="1" applyFill="1" applyBorder="1" applyAlignment="1" applyProtection="1">
      <alignment horizontal="center" vertical="center" wrapText="1"/>
    </xf>
    <xf numFmtId="4" fontId="7" fillId="0"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7" fillId="0" borderId="1" xfId="3" applyNumberFormat="1" applyFont="1" applyFill="1" applyBorder="1" applyAlignment="1" applyProtection="1">
      <alignment horizontal="center" vertical="center" wrapText="1"/>
    </xf>
    <xf numFmtId="4" fontId="7" fillId="0" borderId="1" xfId="3" applyNumberFormat="1" applyFont="1" applyFill="1" applyBorder="1" applyAlignment="1" applyProtection="1">
      <alignment horizontal="left" vertical="center" wrapText="1"/>
    </xf>
    <xf numFmtId="0" fontId="131" fillId="0" borderId="0" xfId="0" applyFont="1" applyProtection="1"/>
    <xf numFmtId="0" fontId="134" fillId="0" borderId="0" xfId="3" applyFont="1" applyAlignment="1" applyProtection="1">
      <alignment horizontal="right"/>
    </xf>
    <xf numFmtId="4" fontId="0" fillId="52" borderId="1" xfId="0" applyNumberFormat="1" applyFont="1" applyFill="1" applyBorder="1" applyAlignment="1" applyProtection="1">
      <alignment horizontal="center" vertical="center"/>
    </xf>
    <xf numFmtId="0" fontId="7" fillId="0" borderId="0" xfId="1169" applyAlignment="1" applyProtection="1">
      <protection locked="0"/>
    </xf>
    <xf numFmtId="0" fontId="93" fillId="0" borderId="0" xfId="1169" applyFont="1" applyAlignment="1" applyProtection="1">
      <protection locked="0"/>
    </xf>
    <xf numFmtId="0" fontId="102" fillId="52" borderId="35" xfId="0" applyFont="1" applyFill="1" applyBorder="1" applyAlignment="1" applyProtection="1">
      <alignment vertical="center"/>
    </xf>
    <xf numFmtId="4" fontId="0" fillId="52" borderId="60" xfId="0" applyNumberFormat="1" applyFont="1" applyFill="1" applyBorder="1" applyAlignment="1" applyProtection="1">
      <alignment horizontal="center" vertical="center"/>
    </xf>
    <xf numFmtId="4" fontId="115" fillId="52" borderId="68" xfId="0" applyNumberFormat="1" applyFont="1" applyFill="1" applyBorder="1" applyAlignment="1" applyProtection="1">
      <alignment horizontal="center" vertical="center"/>
    </xf>
    <xf numFmtId="0" fontId="115" fillId="52" borderId="0" xfId="0" applyFont="1" applyFill="1" applyAlignment="1" applyProtection="1">
      <alignment vertical="center"/>
    </xf>
    <xf numFmtId="0" fontId="5" fillId="52" borderId="0" xfId="0" applyFont="1" applyFill="1" applyAlignment="1" applyProtection="1"/>
    <xf numFmtId="0" fontId="5" fillId="52" borderId="38" xfId="0" applyFont="1" applyFill="1" applyBorder="1" applyAlignment="1" applyProtection="1">
      <alignment vertical="center"/>
    </xf>
    <xf numFmtId="0" fontId="5" fillId="52" borderId="38" xfId="0" applyFont="1" applyFill="1" applyBorder="1" applyAlignment="1" applyProtection="1"/>
    <xf numFmtId="0" fontId="115" fillId="52" borderId="34" xfId="0" applyFont="1" applyFill="1" applyBorder="1" applyAlignment="1" applyProtection="1">
      <alignment vertical="center"/>
    </xf>
    <xf numFmtId="0" fontId="115" fillId="52" borderId="36" xfId="0" applyFont="1" applyFill="1" applyBorder="1" applyAlignment="1" applyProtection="1">
      <alignment vertical="center"/>
    </xf>
    <xf numFmtId="2" fontId="116" fillId="52" borderId="34" xfId="0" applyNumberFormat="1" applyFont="1" applyFill="1" applyBorder="1" applyAlignment="1" applyProtection="1">
      <alignment vertical="center"/>
    </xf>
    <xf numFmtId="2" fontId="116" fillId="52" borderId="35" xfId="0" applyNumberFormat="1" applyFont="1" applyFill="1" applyBorder="1" applyAlignment="1" applyProtection="1">
      <alignment vertical="center"/>
    </xf>
    <xf numFmtId="2" fontId="116" fillId="52" borderId="36" xfId="0" applyNumberFormat="1" applyFont="1" applyFill="1" applyBorder="1" applyAlignment="1" applyProtection="1">
      <alignment vertical="center"/>
    </xf>
    <xf numFmtId="2" fontId="109" fillId="52" borderId="34" xfId="0" applyNumberFormat="1" applyFont="1" applyFill="1" applyBorder="1" applyAlignment="1" applyProtection="1">
      <alignment vertical="center"/>
    </xf>
    <xf numFmtId="2" fontId="109" fillId="52" borderId="35" xfId="0" applyNumberFormat="1" applyFont="1" applyFill="1" applyBorder="1" applyAlignment="1" applyProtection="1">
      <alignment vertical="center"/>
    </xf>
    <xf numFmtId="2" fontId="109" fillId="52" borderId="36" xfId="0" applyNumberFormat="1" applyFont="1" applyFill="1" applyBorder="1" applyAlignment="1" applyProtection="1">
      <alignment vertical="center"/>
    </xf>
    <xf numFmtId="0" fontId="116" fillId="52" borderId="34" xfId="0" applyFont="1" applyFill="1" applyBorder="1" applyAlignment="1" applyProtection="1">
      <alignment vertical="center"/>
    </xf>
    <xf numFmtId="0" fontId="116" fillId="52" borderId="35" xfId="0" applyFont="1" applyFill="1" applyBorder="1" applyAlignment="1" applyProtection="1">
      <alignment vertical="center"/>
    </xf>
    <xf numFmtId="0" fontId="116" fillId="52" borderId="36" xfId="0" applyFont="1" applyFill="1" applyBorder="1" applyAlignment="1" applyProtection="1">
      <alignment vertical="center"/>
    </xf>
    <xf numFmtId="14" fontId="116" fillId="52" borderId="35" xfId="0" applyNumberFormat="1" applyFont="1" applyFill="1" applyBorder="1" applyAlignment="1" applyProtection="1">
      <alignment vertical="center"/>
    </xf>
    <xf numFmtId="0" fontId="5" fillId="52" borderId="40" xfId="0" applyFont="1" applyFill="1" applyBorder="1" applyAlignment="1" applyProtection="1"/>
    <xf numFmtId="0" fontId="5" fillId="52" borderId="0" xfId="0" applyFont="1" applyFill="1" applyBorder="1" applyAlignment="1" applyProtection="1"/>
    <xf numFmtId="0" fontId="5" fillId="52" borderId="3" xfId="0" applyFont="1" applyFill="1" applyBorder="1" applyAlignment="1" applyProtection="1"/>
    <xf numFmtId="0" fontId="116" fillId="52" borderId="21" xfId="0" applyFont="1" applyFill="1" applyBorder="1" applyAlignment="1" applyProtection="1">
      <alignment vertical="center"/>
    </xf>
    <xf numFmtId="0" fontId="116" fillId="52" borderId="2" xfId="0" applyFont="1" applyFill="1" applyBorder="1" applyAlignment="1" applyProtection="1">
      <alignment vertical="center"/>
    </xf>
    <xf numFmtId="0" fontId="116" fillId="52" borderId="22" xfId="0" applyFont="1" applyFill="1" applyBorder="1" applyAlignment="1" applyProtection="1">
      <alignment vertical="center"/>
    </xf>
    <xf numFmtId="0" fontId="116" fillId="52" borderId="23" xfId="0" applyFont="1" applyFill="1" applyBorder="1" applyAlignment="1" applyProtection="1">
      <alignment vertical="center"/>
    </xf>
    <xf numFmtId="0" fontId="116" fillId="52" borderId="26" xfId="0" applyFont="1" applyFill="1" applyBorder="1" applyAlignment="1" applyProtection="1">
      <alignment vertical="center"/>
    </xf>
    <xf numFmtId="0" fontId="116" fillId="52" borderId="5" xfId="0" applyFont="1" applyFill="1" applyBorder="1" applyAlignment="1" applyProtection="1">
      <alignment vertical="center"/>
    </xf>
    <xf numFmtId="0" fontId="116" fillId="52" borderId="27" xfId="0" applyFont="1" applyFill="1" applyBorder="1" applyAlignment="1" applyProtection="1">
      <alignment vertical="center"/>
    </xf>
    <xf numFmtId="0" fontId="116" fillId="52" borderId="29" xfId="0" applyFont="1" applyFill="1" applyBorder="1" applyAlignment="1" applyProtection="1">
      <alignment vertical="center"/>
    </xf>
    <xf numFmtId="0" fontId="116" fillId="52" borderId="24" xfId="0" applyFont="1" applyFill="1" applyBorder="1" applyAlignment="1" applyProtection="1">
      <alignment vertical="center"/>
    </xf>
    <xf numFmtId="0" fontId="116" fillId="52" borderId="3" xfId="0" applyFont="1" applyFill="1" applyBorder="1" applyAlignment="1" applyProtection="1">
      <alignment vertical="center"/>
    </xf>
    <xf numFmtId="0" fontId="116" fillId="52" borderId="25" xfId="0" applyFont="1" applyFill="1" applyBorder="1" applyAlignment="1" applyProtection="1">
      <alignment vertical="center"/>
    </xf>
    <xf numFmtId="0" fontId="116" fillId="52" borderId="1" xfId="0" applyFont="1" applyFill="1" applyBorder="1" applyAlignment="1" applyProtection="1">
      <alignment horizontal="center" vertical="center"/>
    </xf>
    <xf numFmtId="0" fontId="102" fillId="52" borderId="26" xfId="0" applyFont="1" applyFill="1" applyBorder="1" applyAlignment="1" applyProtection="1">
      <alignment vertical="center"/>
    </xf>
    <xf numFmtId="0" fontId="102" fillId="52" borderId="5" xfId="0" applyFont="1" applyFill="1" applyBorder="1" applyAlignment="1" applyProtection="1">
      <alignment vertical="center"/>
    </xf>
    <xf numFmtId="0" fontId="102" fillId="52" borderId="27" xfId="0" applyFont="1" applyFill="1" applyBorder="1" applyAlignment="1" applyProtection="1">
      <alignment vertical="center"/>
    </xf>
    <xf numFmtId="0" fontId="102" fillId="52" borderId="72" xfId="0" applyFont="1" applyFill="1" applyBorder="1" applyAlignment="1" applyProtection="1">
      <alignment vertical="center"/>
    </xf>
    <xf numFmtId="0" fontId="102" fillId="52" borderId="73" xfId="0" applyFont="1" applyFill="1" applyBorder="1" applyAlignment="1" applyProtection="1">
      <alignment vertical="center"/>
    </xf>
    <xf numFmtId="0" fontId="102" fillId="52" borderId="74" xfId="0" applyFont="1" applyFill="1" applyBorder="1" applyAlignment="1" applyProtection="1">
      <alignment vertical="center"/>
    </xf>
    <xf numFmtId="0" fontId="115" fillId="52" borderId="33" xfId="0" applyFont="1" applyFill="1" applyBorder="1" applyAlignment="1" applyProtection="1">
      <alignment horizontal="center" vertical="center"/>
    </xf>
    <xf numFmtId="0" fontId="115" fillId="52" borderId="35" xfId="0" applyFont="1" applyFill="1" applyBorder="1" applyAlignment="1" applyProtection="1">
      <alignment vertical="center"/>
    </xf>
    <xf numFmtId="0" fontId="5" fillId="52" borderId="0" xfId="0" applyFont="1" applyFill="1" applyAlignment="1" applyProtection="1">
      <alignment vertical="center"/>
    </xf>
    <xf numFmtId="0" fontId="5" fillId="52" borderId="40" xfId="0" applyFont="1" applyFill="1" applyBorder="1" applyAlignment="1" applyProtection="1">
      <alignment vertical="center"/>
    </xf>
    <xf numFmtId="0" fontId="116" fillId="52" borderId="31" xfId="0" applyFont="1" applyFill="1" applyBorder="1" applyAlignment="1" applyProtection="1">
      <alignment vertical="center"/>
    </xf>
    <xf numFmtId="0" fontId="116" fillId="52" borderId="39" xfId="0" applyFont="1" applyFill="1" applyBorder="1" applyAlignment="1" applyProtection="1">
      <alignment vertical="center"/>
    </xf>
    <xf numFmtId="0" fontId="116" fillId="52" borderId="40" xfId="0" applyFont="1" applyFill="1" applyBorder="1" applyAlignment="1" applyProtection="1">
      <alignment vertical="center"/>
    </xf>
    <xf numFmtId="0" fontId="116" fillId="52" borderId="51" xfId="0" applyFont="1" applyFill="1" applyBorder="1" applyAlignment="1" applyProtection="1">
      <alignment vertical="center"/>
    </xf>
    <xf numFmtId="0" fontId="116" fillId="52" borderId="33" xfId="0" applyFont="1" applyFill="1" applyBorder="1" applyAlignment="1" applyProtection="1">
      <alignment vertical="center"/>
    </xf>
    <xf numFmtId="0" fontId="116" fillId="52" borderId="62" xfId="0" applyFont="1" applyFill="1" applyBorder="1" applyAlignment="1" applyProtection="1">
      <alignment vertical="center"/>
    </xf>
    <xf numFmtId="0" fontId="116" fillId="52" borderId="63" xfId="0" applyFont="1" applyFill="1" applyBorder="1" applyAlignment="1" applyProtection="1">
      <alignment vertical="center"/>
    </xf>
    <xf numFmtId="0" fontId="116" fillId="52" borderId="70" xfId="0" applyFont="1" applyFill="1" applyBorder="1" applyAlignment="1" applyProtection="1">
      <alignment vertical="center"/>
    </xf>
    <xf numFmtId="0" fontId="116" fillId="52" borderId="64" xfId="0" applyFont="1" applyFill="1" applyBorder="1" applyAlignment="1" applyProtection="1">
      <alignment horizontal="center" vertical="center"/>
    </xf>
    <xf numFmtId="0" fontId="116" fillId="52" borderId="65" xfId="0" applyFont="1" applyFill="1" applyBorder="1" applyAlignment="1" applyProtection="1">
      <alignment horizontal="center" vertical="center"/>
    </xf>
    <xf numFmtId="0" fontId="116" fillId="52" borderId="33" xfId="0" applyFont="1" applyFill="1" applyBorder="1" applyAlignment="1" applyProtection="1">
      <alignment horizontal="center" vertical="center"/>
    </xf>
    <xf numFmtId="0" fontId="102" fillId="52" borderId="66" xfId="0" applyFont="1" applyFill="1" applyBorder="1" applyAlignment="1" applyProtection="1">
      <alignment vertical="center"/>
    </xf>
    <xf numFmtId="0" fontId="102" fillId="52" borderId="67" xfId="0" applyFont="1" applyFill="1" applyBorder="1" applyAlignment="1" applyProtection="1">
      <alignment vertical="center"/>
    </xf>
    <xf numFmtId="0" fontId="102" fillId="52" borderId="71" xfId="0" applyFont="1" applyFill="1" applyBorder="1" applyAlignment="1" applyProtection="1">
      <alignment vertical="center"/>
    </xf>
    <xf numFmtId="4" fontId="0" fillId="52" borderId="69" xfId="0" applyNumberFormat="1" applyFont="1" applyFill="1" applyBorder="1" applyAlignment="1" applyProtection="1">
      <alignment horizontal="center" vertical="center"/>
    </xf>
    <xf numFmtId="0" fontId="5" fillId="52" borderId="0" xfId="0" applyFont="1" applyFill="1" applyBorder="1" applyAlignment="1" applyProtection="1">
      <alignment vertical="center"/>
    </xf>
    <xf numFmtId="1" fontId="116" fillId="52" borderId="1" xfId="0" applyNumberFormat="1" applyFont="1" applyFill="1" applyBorder="1" applyAlignment="1" applyProtection="1">
      <alignment horizontal="center" vertical="center"/>
    </xf>
    <xf numFmtId="0" fontId="102" fillId="52" borderId="1" xfId="0" applyFont="1" applyFill="1" applyBorder="1" applyAlignment="1" applyProtection="1">
      <alignment horizontal="center" vertical="center"/>
    </xf>
    <xf numFmtId="0" fontId="5" fillId="52" borderId="1" xfId="0" applyFont="1" applyFill="1" applyBorder="1" applyAlignment="1" applyProtection="1">
      <alignment vertical="center"/>
    </xf>
    <xf numFmtId="0" fontId="5" fillId="52" borderId="1" xfId="0" applyFont="1" applyFill="1" applyBorder="1" applyAlignment="1" applyProtection="1">
      <alignment horizontal="center" vertical="center"/>
    </xf>
    <xf numFmtId="0" fontId="102" fillId="52" borderId="34" xfId="0" applyFont="1" applyFill="1" applyBorder="1" applyAlignment="1" applyProtection="1">
      <alignment vertical="center"/>
    </xf>
    <xf numFmtId="0" fontId="102" fillId="52" borderId="36" xfId="0" applyFont="1" applyFill="1" applyBorder="1" applyAlignment="1" applyProtection="1">
      <alignment vertical="center"/>
    </xf>
    <xf numFmtId="1" fontId="116" fillId="52" borderId="33" xfId="0" applyNumberFormat="1" applyFont="1" applyFill="1" applyBorder="1" applyAlignment="1" applyProtection="1">
      <alignment horizontal="center" vertical="center"/>
    </xf>
    <xf numFmtId="0" fontId="145" fillId="52" borderId="0" xfId="0" applyFont="1" applyFill="1" applyAlignment="1" applyProtection="1">
      <alignment vertical="center"/>
    </xf>
    <xf numFmtId="0" fontId="145" fillId="52" borderId="34" xfId="0" applyFont="1" applyFill="1" applyBorder="1" applyAlignment="1" applyProtection="1">
      <alignment vertical="center"/>
    </xf>
    <xf numFmtId="1" fontId="89" fillId="52" borderId="34" xfId="0" applyNumberFormat="1" applyFont="1" applyFill="1" applyBorder="1" applyAlignment="1" applyProtection="1">
      <alignment vertical="center"/>
    </xf>
    <xf numFmtId="0" fontId="89" fillId="52" borderId="34" xfId="0" applyFont="1" applyFill="1" applyBorder="1" applyAlignment="1" applyProtection="1">
      <alignment vertical="center"/>
    </xf>
    <xf numFmtId="0" fontId="102" fillId="52" borderId="47" xfId="0" applyFont="1" applyFill="1" applyBorder="1" applyAlignment="1" applyProtection="1">
      <alignment vertical="center"/>
    </xf>
    <xf numFmtId="0" fontId="145" fillId="52" borderId="40" xfId="0" applyFont="1" applyFill="1" applyBorder="1" applyAlignment="1" applyProtection="1">
      <alignment vertical="center"/>
    </xf>
    <xf numFmtId="4" fontId="7" fillId="6" borderId="1" xfId="1169" applyNumberFormat="1" applyFont="1" applyFill="1" applyBorder="1" applyProtection="1">
      <protection locked="0"/>
    </xf>
    <xf numFmtId="4" fontId="7" fillId="0" borderId="0" xfId="1203" applyNumberFormat="1" applyFont="1" applyAlignment="1" applyProtection="1">
      <alignment vertical="top" wrapText="1"/>
    </xf>
    <xf numFmtId="4" fontId="92" fillId="3" borderId="1" xfId="1203" applyNumberFormat="1" applyFont="1" applyFill="1" applyBorder="1" applyAlignment="1" applyProtection="1">
      <alignment horizontal="center" vertical="center" wrapText="1"/>
    </xf>
    <xf numFmtId="4" fontId="5" fillId="3" borderId="1" xfId="1203" applyNumberFormat="1" applyFont="1" applyFill="1" applyBorder="1" applyAlignment="1" applyProtection="1">
      <alignment horizontal="center" vertical="center" wrapText="1"/>
    </xf>
    <xf numFmtId="4" fontId="7" fillId="48" borderId="1" xfId="1169" applyNumberFormat="1" applyFont="1" applyFill="1" applyBorder="1" applyAlignment="1" applyProtection="1">
      <alignment horizontal="center" wrapText="1"/>
      <protection locked="0"/>
    </xf>
    <xf numFmtId="4" fontId="7" fillId="3" borderId="1" xfId="1169" applyNumberFormat="1" applyFont="1" applyFill="1" applyBorder="1" applyAlignment="1" applyProtection="1">
      <alignment horizontal="center"/>
    </xf>
    <xf numFmtId="4" fontId="7" fillId="5" borderId="1" xfId="1169" applyNumberFormat="1" applyFont="1" applyFill="1" applyBorder="1" applyAlignment="1" applyProtection="1">
      <alignment horizontal="center" wrapText="1"/>
    </xf>
    <xf numFmtId="4" fontId="7" fillId="5" borderId="1" xfId="1169" applyNumberFormat="1" applyFont="1" applyFill="1" applyBorder="1" applyAlignment="1" applyProtection="1">
      <alignment horizontal="center"/>
    </xf>
    <xf numFmtId="4" fontId="8" fillId="5" borderId="1" xfId="1169" applyNumberFormat="1" applyFont="1" applyFill="1" applyBorder="1" applyAlignment="1" applyProtection="1">
      <alignment vertical="center" wrapText="1"/>
    </xf>
    <xf numFmtId="4" fontId="8" fillId="5" borderId="1" xfId="1169" applyNumberFormat="1" applyFont="1" applyFill="1" applyBorder="1" applyAlignment="1" applyProtection="1">
      <alignment wrapText="1"/>
    </xf>
    <xf numFmtId="4" fontId="7" fillId="52" borderId="1" xfId="1169" applyNumberFormat="1" applyFont="1" applyFill="1" applyBorder="1" applyAlignment="1" applyProtection="1">
      <alignment horizontal="center"/>
      <protection locked="0"/>
    </xf>
    <xf numFmtId="4" fontId="8" fillId="5" borderId="5" xfId="1169" applyNumberFormat="1" applyFont="1" applyFill="1" applyBorder="1" applyAlignment="1" applyProtection="1">
      <alignment vertical="center" wrapText="1"/>
    </xf>
    <xf numFmtId="4" fontId="7" fillId="52" borderId="1" xfId="1169" applyNumberFormat="1" applyFont="1" applyFill="1" applyBorder="1" applyAlignment="1" applyProtection="1">
      <alignment horizontal="center" wrapText="1"/>
      <protection locked="0"/>
    </xf>
    <xf numFmtId="4" fontId="7" fillId="48" borderId="29" xfId="1203" applyNumberFormat="1" applyFont="1" applyFill="1" applyBorder="1" applyAlignment="1" applyProtection="1">
      <alignment horizontal="center" vertical="center" wrapText="1"/>
      <protection locked="0"/>
    </xf>
    <xf numFmtId="4" fontId="8" fillId="48" borderId="1" xfId="1440" applyNumberFormat="1" applyFont="1" applyFill="1" applyBorder="1" applyAlignment="1" applyProtection="1">
      <alignment horizontal="center" vertical="center" wrapText="1"/>
      <protection locked="0"/>
    </xf>
    <xf numFmtId="4" fontId="7" fillId="5" borderId="1" xfId="1440" applyNumberFormat="1" applyFont="1" applyFill="1" applyBorder="1" applyAlignment="1" applyProtection="1">
      <alignment horizontal="center" vertical="center" wrapText="1"/>
    </xf>
    <xf numFmtId="4" fontId="8" fillId="5" borderId="1" xfId="1440" applyNumberFormat="1" applyFont="1" applyFill="1" applyBorder="1" applyAlignment="1" applyProtection="1">
      <alignment horizontal="center" vertical="center" wrapText="1"/>
    </xf>
    <xf numFmtId="4" fontId="117" fillId="48" borderId="1" xfId="1440" applyNumberFormat="1" applyFont="1" applyFill="1" applyBorder="1" applyAlignment="1" applyProtection="1">
      <alignment horizontal="center" vertical="center" wrapText="1"/>
      <protection locked="0"/>
    </xf>
    <xf numFmtId="2" fontId="95" fillId="0" borderId="0" xfId="1169" applyNumberFormat="1" applyFont="1" applyBorder="1" applyAlignment="1" applyProtection="1">
      <alignment horizontal="left" vertical="center"/>
    </xf>
    <xf numFmtId="49" fontId="88" fillId="5" borderId="1" xfId="1169" applyNumberFormat="1" applyFont="1" applyFill="1" applyBorder="1" applyAlignment="1" applyProtection="1">
      <alignment horizontal="center" vertical="center" wrapText="1"/>
    </xf>
    <xf numFmtId="1" fontId="8" fillId="5" borderId="1" xfId="1203" applyNumberFormat="1" applyFont="1" applyFill="1" applyBorder="1" applyAlignment="1" applyProtection="1">
      <alignment horizontal="left" vertical="center" wrapText="1"/>
    </xf>
    <xf numFmtId="0" fontId="133" fillId="0" borderId="0" xfId="3" applyFont="1" applyAlignment="1" applyProtection="1">
      <alignment horizontal="right"/>
    </xf>
    <xf numFmtId="0" fontId="8" fillId="0" borderId="0" xfId="1169" applyFont="1" applyAlignment="1" applyProtection="1">
      <alignment horizontal="center"/>
      <protection locked="0"/>
    </xf>
    <xf numFmtId="0" fontId="101" fillId="5" borderId="1" xfId="1169" applyFont="1" applyFill="1" applyBorder="1" applyAlignment="1" applyProtection="1">
      <alignment horizontal="center" vertical="center"/>
    </xf>
    <xf numFmtId="0" fontId="8" fillId="0" borderId="0" xfId="1203" applyFont="1" applyFill="1" applyBorder="1" applyAlignment="1" applyProtection="1">
      <alignment horizontal="center" vertical="top" wrapText="1"/>
    </xf>
    <xf numFmtId="0" fontId="8" fillId="0" borderId="0" xfId="1169" applyFont="1" applyFill="1" applyAlignment="1" applyProtection="1">
      <alignment horizontal="center" vertical="center"/>
    </xf>
    <xf numFmtId="0" fontId="8" fillId="0" borderId="0" xfId="1169" applyFont="1" applyAlignment="1" applyProtection="1">
      <alignment horizontal="center" vertical="top"/>
    </xf>
    <xf numFmtId="1" fontId="93" fillId="0" borderId="0" xfId="1169" applyNumberFormat="1" applyFont="1" applyFill="1" applyAlignment="1" applyProtection="1">
      <alignment horizontal="center" vertical="center"/>
    </xf>
    <xf numFmtId="1" fontId="106" fillId="0" borderId="0" xfId="1169" applyNumberFormat="1" applyFont="1" applyFill="1" applyAlignment="1" applyProtection="1">
      <alignment horizontal="center"/>
    </xf>
    <xf numFmtId="1" fontId="142" fillId="0" borderId="1" xfId="1169" applyNumberFormat="1" applyFont="1" applyFill="1" applyBorder="1" applyAlignment="1" applyProtection="1">
      <alignment horizontal="center" vertical="center" wrapText="1"/>
    </xf>
    <xf numFmtId="0" fontId="142" fillId="0" borderId="1" xfId="1169" applyFont="1" applyBorder="1" applyAlignment="1" applyProtection="1">
      <alignment horizontal="center" vertical="center" wrapText="1"/>
    </xf>
    <xf numFmtId="0" fontId="7" fillId="0" borderId="0" xfId="1169" applyFont="1" applyFill="1" applyBorder="1" applyProtection="1"/>
    <xf numFmtId="0" fontId="7" fillId="0" borderId="0" xfId="1169" applyFont="1" applyFill="1" applyBorder="1" applyAlignment="1" applyProtection="1">
      <alignment vertical="center"/>
    </xf>
    <xf numFmtId="0" fontId="1" fillId="0" borderId="0" xfId="3" applyProtection="1"/>
    <xf numFmtId="0" fontId="5" fillId="0" borderId="0" xfId="0" applyFont="1" applyBorder="1" applyProtection="1">
      <protection locked="0"/>
    </xf>
    <xf numFmtId="0" fontId="5" fillId="0" borderId="0" xfId="1" applyFont="1" applyAlignment="1" applyProtection="1">
      <alignment vertical="center" wrapText="1"/>
      <protection locked="0"/>
    </xf>
    <xf numFmtId="0" fontId="6" fillId="0" borderId="0" xfId="0" applyFont="1" applyFill="1" applyBorder="1" applyAlignment="1" applyProtection="1">
      <alignment horizontal="right" vertical="center" wrapText="1"/>
      <protection locked="0"/>
    </xf>
    <xf numFmtId="0" fontId="5" fillId="0" borderId="0" xfId="0" applyFont="1" applyFill="1" applyBorder="1" applyAlignment="1" applyProtection="1">
      <alignment vertical="center" wrapText="1"/>
      <protection locked="0"/>
    </xf>
    <xf numFmtId="0" fontId="5" fillId="0" borderId="0" xfId="1" applyFont="1" applyFill="1" applyAlignment="1" applyProtection="1">
      <alignment vertical="center" wrapText="1"/>
      <protection locked="0"/>
    </xf>
    <xf numFmtId="0" fontId="5" fillId="0" borderId="0" xfId="0" applyFont="1" applyProtection="1">
      <protection locked="0"/>
    </xf>
    <xf numFmtId="0" fontId="5" fillId="0" borderId="0" xfId="1" applyFont="1" applyFill="1" applyBorder="1" applyAlignment="1" applyProtection="1">
      <alignment vertical="center" wrapText="1"/>
      <protection locked="0"/>
    </xf>
    <xf numFmtId="2" fontId="5" fillId="0" borderId="0" xfId="1" applyNumberFormat="1" applyFont="1" applyFill="1" applyBorder="1" applyAlignment="1" applyProtection="1">
      <alignment horizontal="center" vertical="center" wrapText="1"/>
      <protection locked="0"/>
    </xf>
    <xf numFmtId="2" fontId="5" fillId="0" borderId="0" xfId="1" applyNumberFormat="1" applyFont="1" applyFill="1" applyBorder="1" applyAlignment="1" applyProtection="1">
      <alignment vertical="center" wrapText="1"/>
      <protection locked="0"/>
    </xf>
    <xf numFmtId="0" fontId="5" fillId="0" borderId="0" xfId="1" applyNumberFormat="1" applyFont="1" applyFill="1" applyBorder="1" applyAlignment="1" applyProtection="1">
      <alignment vertical="center" wrapText="1"/>
      <protection locked="0"/>
    </xf>
    <xf numFmtId="0" fontId="8" fillId="0" borderId="0" xfId="2" applyFont="1" applyProtection="1"/>
    <xf numFmtId="0" fontId="7" fillId="0" borderId="0" xfId="2" applyProtection="1"/>
    <xf numFmtId="0" fontId="7" fillId="0" borderId="0" xfId="2" applyAlignment="1" applyProtection="1">
      <alignment horizontal="center"/>
    </xf>
    <xf numFmtId="0" fontId="7" fillId="0" borderId="0" xfId="2" applyBorder="1" applyProtection="1"/>
    <xf numFmtId="0" fontId="7" fillId="0" borderId="0" xfId="2" applyAlignment="1" applyProtection="1">
      <alignment horizontal="left"/>
    </xf>
    <xf numFmtId="0" fontId="7" fillId="0" borderId="0" xfId="2" applyAlignment="1" applyProtection="1">
      <alignment horizontal="right"/>
    </xf>
    <xf numFmtId="0" fontId="7" fillId="0" borderId="0" xfId="2" applyFill="1" applyProtection="1"/>
    <xf numFmtId="4" fontId="7" fillId="5" borderId="1" xfId="1169" applyNumberFormat="1" applyFont="1" applyFill="1" applyBorder="1" applyProtection="1"/>
    <xf numFmtId="0" fontId="106" fillId="0" borderId="0" xfId="1169" applyFont="1" applyProtection="1"/>
    <xf numFmtId="0" fontId="114" fillId="0" borderId="0" xfId="0" applyFont="1" applyProtection="1">
      <protection locked="0"/>
    </xf>
    <xf numFmtId="0" fontId="132" fillId="0" borderId="0" xfId="0" applyFont="1" applyProtection="1">
      <protection locked="0"/>
    </xf>
    <xf numFmtId="0" fontId="114" fillId="0" borderId="1" xfId="0" applyFont="1" applyBorder="1" applyProtection="1">
      <protection locked="0"/>
    </xf>
    <xf numFmtId="4" fontId="7" fillId="6" borderId="1" xfId="3" applyNumberFormat="1" applyFont="1" applyFill="1" applyBorder="1" applyAlignment="1" applyProtection="1">
      <alignment horizontal="center" vertical="center" wrapText="1"/>
      <protection locked="0"/>
    </xf>
    <xf numFmtId="4" fontId="131" fillId="52" borderId="1" xfId="0" applyNumberFormat="1" applyFont="1" applyFill="1" applyBorder="1" applyAlignment="1" applyProtection="1">
      <alignment horizontal="center" vertical="center"/>
      <protection locked="0"/>
    </xf>
    <xf numFmtId="0" fontId="132" fillId="0" borderId="0" xfId="0" applyFont="1" applyAlignment="1" applyProtection="1"/>
    <xf numFmtId="0" fontId="132" fillId="0" borderId="0" xfId="0" applyFont="1" applyProtection="1"/>
    <xf numFmtId="0" fontId="114" fillId="0" borderId="0" xfId="0" applyFont="1" applyProtection="1"/>
    <xf numFmtId="49" fontId="95" fillId="0" borderId="0" xfId="0" applyNumberFormat="1" applyFont="1" applyProtection="1"/>
    <xf numFmtId="4" fontId="7" fillId="5" borderId="1" xfId="3" applyNumberFormat="1" applyFont="1" applyFill="1" applyBorder="1" applyAlignment="1" applyProtection="1">
      <alignment horizontal="center" vertical="center" wrapText="1"/>
    </xf>
    <xf numFmtId="4" fontId="7" fillId="5" borderId="1" xfId="3" applyNumberFormat="1" applyFont="1" applyFill="1" applyBorder="1" applyAlignment="1" applyProtection="1">
      <alignment horizontal="left" vertical="center" wrapText="1"/>
    </xf>
    <xf numFmtId="4" fontId="131" fillId="5" borderId="1" xfId="0" applyNumberFormat="1" applyFont="1" applyFill="1" applyBorder="1" applyAlignment="1" applyProtection="1">
      <alignment horizontal="center" vertical="center"/>
    </xf>
    <xf numFmtId="49" fontId="7" fillId="5" borderId="1" xfId="3" applyNumberFormat="1" applyFont="1" applyFill="1" applyBorder="1" applyAlignment="1" applyProtection="1">
      <alignment horizontal="center" vertical="center" wrapText="1"/>
    </xf>
    <xf numFmtId="4" fontId="8" fillId="5" borderId="1" xfId="3" applyNumberFormat="1" applyFont="1" applyFill="1" applyBorder="1" applyAlignment="1" applyProtection="1">
      <alignment horizontal="center" vertical="center" wrapText="1"/>
    </xf>
    <xf numFmtId="4" fontId="8" fillId="5" borderId="1" xfId="3" applyNumberFormat="1" applyFont="1" applyFill="1" applyBorder="1" applyAlignment="1" applyProtection="1">
      <alignment horizontal="left" vertical="center" wrapText="1"/>
    </xf>
    <xf numFmtId="4" fontId="8" fillId="5" borderId="1" xfId="0" applyNumberFormat="1" applyFont="1" applyFill="1" applyBorder="1" applyAlignment="1" applyProtection="1">
      <alignment horizontal="center"/>
    </xf>
    <xf numFmtId="4" fontId="7" fillId="5" borderId="1" xfId="0" applyNumberFormat="1" applyFont="1" applyFill="1" applyBorder="1" applyAlignment="1" applyProtection="1">
      <alignment horizontal="center" vertical="center" wrapText="1"/>
    </xf>
    <xf numFmtId="0" fontId="95" fillId="0" borderId="0" xfId="0" applyFont="1" applyProtection="1">
      <protection locked="0"/>
    </xf>
    <xf numFmtId="1" fontId="93" fillId="0" borderId="0" xfId="1203" applyNumberFormat="1" applyFont="1" applyFill="1" applyBorder="1" applyAlignment="1" applyProtection="1">
      <alignment horizontal="center" vertical="center" wrapText="1"/>
      <protection locked="0"/>
    </xf>
    <xf numFmtId="1" fontId="8" fillId="0" borderId="0" xfId="1203" applyNumberFormat="1" applyFont="1" applyFill="1" applyBorder="1" applyAlignment="1" applyProtection="1">
      <alignment horizontal="center" vertical="center" wrapText="1"/>
      <protection locked="0"/>
    </xf>
    <xf numFmtId="1" fontId="7" fillId="0" borderId="0" xfId="1203" applyNumberFormat="1" applyFont="1" applyFill="1" applyBorder="1" applyAlignment="1" applyProtection="1">
      <alignment horizontal="center" vertical="center" wrapText="1"/>
      <protection locked="0"/>
    </xf>
    <xf numFmtId="4" fontId="8" fillId="6" borderId="1" xfId="1203" applyNumberFormat="1" applyFont="1" applyFill="1" applyBorder="1" applyAlignment="1" applyProtection="1">
      <alignment horizontal="center" vertical="center" wrapText="1"/>
      <protection locked="0"/>
    </xf>
    <xf numFmtId="1" fontId="7" fillId="0" borderId="0" xfId="1203" applyNumberFormat="1" applyFont="1" applyFill="1" applyBorder="1" applyAlignment="1" applyProtection="1">
      <alignment vertical="top" wrapText="1"/>
    </xf>
    <xf numFmtId="0" fontId="7" fillId="0" borderId="0" xfId="1203" applyFont="1" applyFill="1" applyBorder="1" applyAlignment="1" applyProtection="1">
      <alignment vertical="top" wrapText="1"/>
    </xf>
    <xf numFmtId="0" fontId="7" fillId="5" borderId="1" xfId="1203" applyFont="1" applyFill="1" applyBorder="1" applyAlignment="1" applyProtection="1">
      <alignment vertical="top" wrapText="1"/>
    </xf>
    <xf numFmtId="0" fontId="7" fillId="0" borderId="0" xfId="1203" applyFont="1" applyAlignment="1" applyProtection="1">
      <alignment horizontal="center" vertical="top" wrapText="1"/>
    </xf>
    <xf numFmtId="0" fontId="8" fillId="5" borderId="1" xfId="1203" applyFont="1" applyFill="1" applyBorder="1" applyAlignment="1" applyProtection="1">
      <alignment vertical="top" wrapText="1"/>
    </xf>
    <xf numFmtId="0" fontId="8" fillId="5" borderId="1" xfId="1203" applyFont="1" applyFill="1" applyBorder="1" applyAlignment="1" applyProtection="1">
      <alignment horizontal="center" vertical="top" wrapText="1"/>
    </xf>
    <xf numFmtId="0" fontId="8" fillId="5" borderId="1" xfId="1203" applyFont="1" applyFill="1" applyBorder="1" applyAlignment="1" applyProtection="1">
      <alignment horizontal="left" vertical="center" wrapText="1"/>
    </xf>
    <xf numFmtId="0" fontId="7" fillId="5" borderId="1" xfId="1203" applyFont="1" applyFill="1" applyBorder="1" applyAlignment="1" applyProtection="1">
      <alignment horizontal="left" vertical="center" wrapText="1"/>
    </xf>
    <xf numFmtId="0" fontId="8" fillId="5" borderId="1" xfId="1203" applyFont="1" applyFill="1" applyBorder="1" applyAlignment="1" applyProtection="1">
      <alignment vertical="center" wrapText="1"/>
    </xf>
    <xf numFmtId="1" fontId="92" fillId="0" borderId="1" xfId="1203" applyNumberFormat="1" applyFont="1" applyFill="1" applyBorder="1" applyAlignment="1" applyProtection="1">
      <alignment vertical="center" wrapText="1"/>
      <protection locked="0"/>
    </xf>
    <xf numFmtId="0" fontId="120" fillId="5" borderId="0" xfId="1169" applyFont="1" applyFill="1" applyAlignment="1" applyProtection="1">
      <alignment horizontal="center"/>
    </xf>
    <xf numFmtId="0" fontId="0" fillId="5" borderId="1" xfId="1203" applyFont="1" applyFill="1" applyBorder="1" applyAlignment="1" applyProtection="1">
      <alignment horizontal="left" vertical="center" wrapText="1"/>
    </xf>
    <xf numFmtId="4" fontId="7" fillId="5" borderId="29" xfId="1203" applyNumberFormat="1" applyFont="1" applyFill="1" applyBorder="1" applyAlignment="1" applyProtection="1">
      <alignment horizontal="center" vertical="center" wrapText="1"/>
    </xf>
    <xf numFmtId="0" fontId="8" fillId="6" borderId="1" xfId="1169" applyFont="1" applyFill="1" applyBorder="1" applyAlignment="1" applyProtection="1">
      <alignment wrapText="1"/>
      <protection locked="0"/>
    </xf>
    <xf numFmtId="0" fontId="93" fillId="0" borderId="0" xfId="1169" applyFont="1" applyProtection="1">
      <protection locked="0"/>
    </xf>
    <xf numFmtId="49" fontId="7" fillId="5" borderId="29" xfId="1203" applyNumberFormat="1" applyFont="1" applyFill="1" applyBorder="1" applyAlignment="1" applyProtection="1">
      <alignment horizontal="center" vertical="center" wrapText="1"/>
    </xf>
    <xf numFmtId="0" fontId="0" fillId="5" borderId="29" xfId="1203" applyFont="1" applyFill="1" applyBorder="1" applyAlignment="1" applyProtection="1">
      <alignment horizontal="left" vertical="center" wrapText="1"/>
    </xf>
    <xf numFmtId="0" fontId="0" fillId="5" borderId="1" xfId="1203" applyFont="1" applyFill="1" applyBorder="1" applyAlignment="1" applyProtection="1">
      <alignment horizontal="center" vertical="center" wrapText="1"/>
    </xf>
    <xf numFmtId="0" fontId="0" fillId="5" borderId="1" xfId="0" applyFill="1" applyBorder="1" applyProtection="1"/>
    <xf numFmtId="4" fontId="0" fillId="5" borderId="1" xfId="0" applyNumberFormat="1" applyFill="1" applyBorder="1" applyProtection="1"/>
    <xf numFmtId="0" fontId="3" fillId="5" borderId="1" xfId="0" applyFont="1" applyFill="1" applyBorder="1" applyProtection="1"/>
    <xf numFmtId="4" fontId="3" fillId="5" borderId="1" xfId="0" applyNumberFormat="1" applyFont="1" applyFill="1" applyBorder="1" applyProtection="1"/>
    <xf numFmtId="4" fontId="3" fillId="5" borderId="1" xfId="0" applyNumberFormat="1" applyFont="1" applyFill="1" applyBorder="1" applyAlignment="1" applyProtection="1">
      <alignment horizontal="center"/>
    </xf>
    <xf numFmtId="0" fontId="0" fillId="6" borderId="1" xfId="0" applyFill="1" applyBorder="1" applyProtection="1">
      <protection locked="0"/>
    </xf>
    <xf numFmtId="4" fontId="0" fillId="6" borderId="1" xfId="0" applyNumberFormat="1" applyFill="1" applyBorder="1" applyProtection="1">
      <protection locked="0"/>
    </xf>
    <xf numFmtId="4" fontId="0" fillId="52" borderId="1" xfId="0" applyNumberFormat="1" applyFill="1" applyBorder="1" applyProtection="1">
      <protection locked="0"/>
    </xf>
    <xf numFmtId="0" fontId="2" fillId="0" borderId="0" xfId="0" applyFont="1" applyProtection="1">
      <protection locked="0"/>
    </xf>
    <xf numFmtId="0" fontId="3" fillId="0" borderId="0" xfId="0" applyFont="1" applyProtection="1">
      <protection locked="0"/>
    </xf>
    <xf numFmtId="4" fontId="3" fillId="52" borderId="1" xfId="0" applyNumberFormat="1" applyFont="1" applyFill="1" applyBorder="1" applyProtection="1">
      <protection locked="0"/>
    </xf>
    <xf numFmtId="0" fontId="8" fillId="5" borderId="1" xfId="1169" applyFont="1" applyFill="1" applyBorder="1" applyAlignment="1" applyProtection="1">
      <alignment horizontal="center"/>
    </xf>
    <xf numFmtId="0" fontId="131" fillId="0" borderId="0" xfId="0" applyFont="1" applyProtection="1">
      <protection locked="0"/>
    </xf>
    <xf numFmtId="0" fontId="3" fillId="0" borderId="0" xfId="0" applyFont="1" applyAlignment="1" applyProtection="1">
      <alignment vertical="center"/>
      <protection locked="0"/>
    </xf>
    <xf numFmtId="0" fontId="0" fillId="0" borderId="1" xfId="0" applyBorder="1" applyProtection="1">
      <protection locked="0"/>
    </xf>
    <xf numFmtId="4" fontId="128" fillId="6" borderId="1" xfId="3" applyNumberFormat="1" applyFont="1" applyFill="1" applyBorder="1" applyAlignment="1" applyProtection="1">
      <alignment horizontal="center" vertical="center" wrapText="1"/>
      <protection locked="0"/>
    </xf>
    <xf numFmtId="0" fontId="146" fillId="0" borderId="1" xfId="0" applyFont="1" applyBorder="1" applyAlignment="1" applyProtection="1">
      <alignment wrapText="1"/>
      <protection locked="0"/>
    </xf>
    <xf numFmtId="4" fontId="127" fillId="6" borderId="1" xfId="3" applyNumberFormat="1" applyFont="1" applyFill="1" applyBorder="1" applyAlignment="1" applyProtection="1">
      <alignment horizontal="center" vertical="center" wrapText="1"/>
      <protection locked="0"/>
    </xf>
    <xf numFmtId="4" fontId="8" fillId="6" borderId="1" xfId="0" applyNumberFormat="1" applyFont="1" applyFill="1" applyBorder="1" applyAlignment="1" applyProtection="1">
      <alignment horizontal="center"/>
      <protection locked="0"/>
    </xf>
    <xf numFmtId="0" fontId="3" fillId="0" borderId="1" xfId="0" applyFont="1" applyBorder="1" applyAlignment="1" applyProtection="1">
      <alignment horizontal="center" vertical="center"/>
    </xf>
    <xf numFmtId="49" fontId="8" fillId="55" borderId="1" xfId="3" applyNumberFormat="1" applyFont="1" applyFill="1" applyBorder="1" applyAlignment="1" applyProtection="1">
      <alignment horizontal="center" vertical="center" wrapText="1"/>
    </xf>
    <xf numFmtId="4" fontId="8" fillId="55" borderId="1" xfId="3" applyNumberFormat="1" applyFont="1" applyFill="1" applyBorder="1" applyAlignment="1" applyProtection="1">
      <alignment horizontal="left" vertical="center" wrapText="1"/>
    </xf>
    <xf numFmtId="4" fontId="8" fillId="55" borderId="1" xfId="0" applyNumberFormat="1" applyFont="1" applyFill="1" applyBorder="1" applyAlignment="1" applyProtection="1">
      <alignment horizontal="center"/>
    </xf>
    <xf numFmtId="49" fontId="8" fillId="5" borderId="1" xfId="3" applyNumberFormat="1" applyFont="1" applyFill="1" applyBorder="1" applyAlignment="1" applyProtection="1">
      <alignment horizontal="center" vertical="center" wrapText="1"/>
    </xf>
    <xf numFmtId="4" fontId="127" fillId="5" borderId="1" xfId="3" applyNumberFormat="1" applyFont="1" applyFill="1" applyBorder="1" applyAlignment="1" applyProtection="1">
      <alignment horizontal="center" vertical="center" wrapText="1"/>
    </xf>
    <xf numFmtId="4" fontId="127" fillId="5" borderId="29" xfId="3" applyNumberFormat="1" applyFont="1" applyFill="1" applyBorder="1" applyAlignment="1" applyProtection="1">
      <alignment horizontal="center" vertical="center" wrapText="1"/>
    </xf>
    <xf numFmtId="4" fontId="128" fillId="5" borderId="1" xfId="3" applyNumberFormat="1" applyFont="1" applyFill="1" applyBorder="1" applyAlignment="1" applyProtection="1">
      <alignment horizontal="center" vertical="center" wrapText="1"/>
    </xf>
    <xf numFmtId="1" fontId="8" fillId="0" borderId="1" xfId="1203" applyNumberFormat="1" applyFont="1" applyFill="1" applyBorder="1" applyAlignment="1" applyProtection="1">
      <alignment horizontal="center" vertical="center" wrapText="1"/>
      <protection locked="0"/>
    </xf>
    <xf numFmtId="0" fontId="114" fillId="0" borderId="1" xfId="0" applyFont="1" applyBorder="1" applyAlignment="1" applyProtection="1">
      <alignment horizontal="center"/>
      <protection locked="0"/>
    </xf>
    <xf numFmtId="0" fontId="132" fillId="0" borderId="1" xfId="0" applyFont="1" applyBorder="1" applyAlignment="1" applyProtection="1">
      <alignment horizontal="center"/>
      <protection locked="0"/>
    </xf>
    <xf numFmtId="4" fontId="131" fillId="5" borderId="1" xfId="0" applyNumberFormat="1" applyFont="1" applyFill="1" applyBorder="1" applyAlignment="1" applyProtection="1">
      <alignment horizontal="center"/>
    </xf>
    <xf numFmtId="4" fontId="113" fillId="60" borderId="1" xfId="0" applyNumberFormat="1" applyFont="1" applyFill="1" applyBorder="1" applyAlignment="1" applyProtection="1">
      <alignment horizontal="center"/>
    </xf>
    <xf numFmtId="4" fontId="113" fillId="5" borderId="1" xfId="0" applyNumberFormat="1" applyFont="1" applyFill="1" applyBorder="1" applyAlignment="1" applyProtection="1">
      <alignment horizontal="center"/>
    </xf>
    <xf numFmtId="4" fontId="7" fillId="6" borderId="1" xfId="1169" applyNumberFormat="1" applyFont="1" applyFill="1" applyBorder="1" applyAlignment="1" applyProtection="1">
      <alignment horizontal="center" vertical="center" wrapText="1"/>
      <protection locked="0"/>
    </xf>
    <xf numFmtId="2" fontId="116" fillId="0" borderId="0" xfId="1169" applyNumberFormat="1" applyFont="1" applyBorder="1" applyAlignment="1" applyProtection="1">
      <alignment horizontal="center" vertical="center" wrapText="1"/>
      <protection locked="0"/>
    </xf>
    <xf numFmtId="0" fontId="102" fillId="0" borderId="0" xfId="1169" applyFont="1" applyBorder="1" applyAlignment="1" applyProtection="1">
      <alignment vertical="center" wrapText="1"/>
      <protection locked="0"/>
    </xf>
    <xf numFmtId="0" fontId="102" fillId="0" borderId="0" xfId="1169" applyFont="1" applyBorder="1" applyAlignment="1" applyProtection="1">
      <alignment horizontal="center" vertical="center" wrapText="1"/>
      <protection locked="0"/>
    </xf>
    <xf numFmtId="2" fontId="116" fillId="0" borderId="0" xfId="1169" applyNumberFormat="1" applyFont="1" applyFill="1" applyBorder="1" applyAlignment="1" applyProtection="1">
      <alignment horizontal="center" vertical="center" wrapText="1"/>
      <protection locked="0"/>
    </xf>
    <xf numFmtId="0" fontId="102" fillId="0" borderId="0" xfId="1169" applyFont="1" applyFill="1" applyBorder="1" applyAlignment="1" applyProtection="1">
      <alignment vertical="center" wrapText="1"/>
      <protection locked="0"/>
    </xf>
    <xf numFmtId="0" fontId="102" fillId="0" borderId="0" xfId="1169" applyFont="1" applyFill="1" applyBorder="1" applyAlignment="1" applyProtection="1">
      <alignment horizontal="center" vertical="center" wrapText="1"/>
      <protection locked="0"/>
    </xf>
    <xf numFmtId="0" fontId="7" fillId="0" borderId="0" xfId="1169" applyFill="1" applyProtection="1"/>
    <xf numFmtId="14" fontId="7" fillId="0" borderId="0" xfId="1169" applyNumberFormat="1" applyProtection="1"/>
    <xf numFmtId="14" fontId="7" fillId="5" borderId="0" xfId="1169" applyNumberFormat="1" applyFill="1" applyProtection="1"/>
    <xf numFmtId="198" fontId="7" fillId="5" borderId="1" xfId="1204" applyNumberFormat="1" applyFont="1" applyFill="1" applyBorder="1" applyAlignment="1" applyProtection="1">
      <alignment horizontal="center" vertical="center" wrapText="1"/>
    </xf>
    <xf numFmtId="0" fontId="131" fillId="0" borderId="0" xfId="0" applyFont="1" applyAlignment="1" applyProtection="1">
      <protection locked="0"/>
    </xf>
    <xf numFmtId="0" fontId="131" fillId="0" borderId="0" xfId="0" applyFont="1" applyAlignment="1" applyProtection="1">
      <alignment horizontal="right"/>
    </xf>
    <xf numFmtId="4" fontId="8" fillId="55" borderId="1" xfId="3" applyNumberFormat="1" applyFont="1" applyFill="1" applyBorder="1" applyAlignment="1" applyProtection="1">
      <alignment horizontal="center" vertical="center" wrapText="1"/>
    </xf>
    <xf numFmtId="4" fontId="137" fillId="5" borderId="1" xfId="3" applyNumberFormat="1" applyFont="1" applyFill="1" applyBorder="1" applyAlignment="1" applyProtection="1">
      <alignment horizontal="center" vertical="center" wrapText="1"/>
    </xf>
    <xf numFmtId="0" fontId="131" fillId="5" borderId="1" xfId="0" applyFont="1" applyFill="1" applyBorder="1" applyProtection="1"/>
    <xf numFmtId="0" fontId="138" fillId="5" borderId="1" xfId="0" applyFont="1" applyFill="1" applyBorder="1" applyAlignment="1" applyProtection="1">
      <alignment horizontal="left" indent="2"/>
    </xf>
    <xf numFmtId="0" fontId="138" fillId="5" borderId="1" xfId="0" applyFont="1" applyFill="1" applyBorder="1" applyProtection="1"/>
    <xf numFmtId="0" fontId="138" fillId="5" borderId="1" xfId="0" applyFont="1" applyFill="1" applyBorder="1" applyAlignment="1" applyProtection="1">
      <alignment horizontal="left" indent="7"/>
    </xf>
    <xf numFmtId="4" fontId="102" fillId="5" borderId="1" xfId="0" applyNumberFormat="1" applyFont="1" applyFill="1" applyBorder="1" applyAlignment="1" applyProtection="1">
      <alignment horizontal="center"/>
    </xf>
    <xf numFmtId="0" fontId="131" fillId="0" borderId="0" xfId="0" applyFont="1" applyFill="1" applyProtection="1">
      <protection locked="0"/>
    </xf>
    <xf numFmtId="0" fontId="131" fillId="0" borderId="0" xfId="0" applyFont="1" applyFill="1" applyAlignment="1" applyProtection="1">
      <protection locked="0"/>
    </xf>
    <xf numFmtId="0" fontId="140" fillId="0" borderId="0" xfId="0" applyFont="1" applyProtection="1">
      <protection locked="0"/>
    </xf>
    <xf numFmtId="0" fontId="131" fillId="0" borderId="0" xfId="0" applyFont="1" applyFill="1" applyProtection="1"/>
    <xf numFmtId="0" fontId="131" fillId="0" borderId="0" xfId="0" applyFont="1" applyFill="1" applyAlignment="1" applyProtection="1">
      <alignment horizontal="right"/>
    </xf>
    <xf numFmtId="4" fontId="8" fillId="0" borderId="1" xfId="0" applyNumberFormat="1" applyFont="1" applyFill="1" applyBorder="1" applyAlignment="1" applyProtection="1">
      <alignment horizontal="center"/>
    </xf>
    <xf numFmtId="4" fontId="137" fillId="0" borderId="1" xfId="3" applyNumberFormat="1" applyFont="1" applyFill="1" applyBorder="1" applyAlignment="1" applyProtection="1">
      <alignment horizontal="center" vertical="center" wrapText="1"/>
    </xf>
    <xf numFmtId="4" fontId="128" fillId="0" borderId="1" xfId="3" applyNumberFormat="1" applyFont="1" applyFill="1" applyBorder="1" applyAlignment="1" applyProtection="1">
      <alignment horizontal="center" vertical="center" wrapText="1"/>
    </xf>
    <xf numFmtId="4" fontId="127" fillId="0" borderId="1" xfId="3" applyNumberFormat="1" applyFont="1" applyFill="1" applyBorder="1" applyAlignment="1" applyProtection="1">
      <alignment horizontal="center" vertical="center" wrapText="1"/>
    </xf>
    <xf numFmtId="0" fontId="138" fillId="0" borderId="1" xfId="0" applyFont="1" applyFill="1" applyBorder="1" applyAlignment="1" applyProtection="1">
      <alignment horizontal="left" indent="2"/>
    </xf>
    <xf numFmtId="4" fontId="102" fillId="0" borderId="1" xfId="0" applyNumberFormat="1" applyFont="1" applyFill="1" applyBorder="1" applyAlignment="1" applyProtection="1">
      <alignment horizontal="center"/>
    </xf>
    <xf numFmtId="0" fontId="138" fillId="0" borderId="1" xfId="0" applyFont="1" applyFill="1" applyBorder="1" applyProtection="1"/>
    <xf numFmtId="0" fontId="138" fillId="0" borderId="1" xfId="0" applyFont="1" applyFill="1" applyBorder="1" applyAlignment="1" applyProtection="1">
      <alignment horizontal="left" indent="7"/>
    </xf>
    <xf numFmtId="187" fontId="8" fillId="0" borderId="1" xfId="0" applyNumberFormat="1" applyFont="1" applyFill="1" applyBorder="1" applyAlignment="1" applyProtection="1">
      <alignment horizontal="center"/>
    </xf>
    <xf numFmtId="0" fontId="98" fillId="0" borderId="0" xfId="1169" applyFont="1" applyFill="1" applyProtection="1">
      <protection locked="0"/>
    </xf>
    <xf numFmtId="0" fontId="98" fillId="0" borderId="0" xfId="1169" applyFont="1" applyFill="1" applyBorder="1" applyProtection="1">
      <protection locked="0"/>
    </xf>
    <xf numFmtId="0" fontId="98" fillId="0" borderId="0" xfId="1169" applyFont="1" applyProtection="1">
      <protection locked="0"/>
    </xf>
    <xf numFmtId="0" fontId="100" fillId="5" borderId="1" xfId="1169" applyFont="1" applyFill="1" applyBorder="1" applyAlignment="1" applyProtection="1">
      <alignment horizontal="center" vertical="center"/>
      <protection locked="0"/>
    </xf>
    <xf numFmtId="0" fontId="103" fillId="5" borderId="0" xfId="1203" applyNumberFormat="1" applyFont="1" applyFill="1" applyBorder="1" applyAlignment="1" applyProtection="1">
      <alignment horizontal="center" vertical="center"/>
      <protection locked="0"/>
    </xf>
    <xf numFmtId="4" fontId="8" fillId="52" borderId="1" xfId="1169" applyNumberFormat="1" applyFont="1" applyFill="1" applyBorder="1" applyAlignment="1" applyProtection="1">
      <alignment horizontal="center"/>
      <protection locked="0"/>
    </xf>
    <xf numFmtId="196" fontId="128" fillId="52" borderId="1" xfId="3" applyNumberFormat="1" applyFont="1" applyFill="1" applyBorder="1" applyAlignment="1" applyProtection="1">
      <alignment horizontal="center" vertical="center" wrapText="1"/>
      <protection locked="0"/>
    </xf>
    <xf numFmtId="0" fontId="7" fillId="0" borderId="0" xfId="1169" applyAlignment="1" applyProtection="1">
      <alignment horizontal="left" wrapText="1"/>
      <protection locked="0"/>
    </xf>
    <xf numFmtId="0" fontId="102" fillId="0" borderId="0" xfId="1169" applyFont="1" applyAlignment="1" applyProtection="1">
      <alignment horizontal="center"/>
    </xf>
    <xf numFmtId="0" fontId="102" fillId="0" borderId="0" xfId="1169" applyFont="1" applyAlignment="1" applyProtection="1">
      <alignment horizontal="left" wrapText="1"/>
    </xf>
    <xf numFmtId="0" fontId="7" fillId="0" borderId="1" xfId="1169" applyBorder="1" applyAlignment="1" applyProtection="1">
      <alignment horizontal="center" vertical="center" wrapText="1"/>
    </xf>
    <xf numFmtId="1" fontId="7" fillId="0" borderId="1" xfId="1169" applyNumberFormat="1" applyBorder="1" applyAlignment="1" applyProtection="1">
      <alignment horizontal="center" vertical="center" wrapText="1"/>
    </xf>
    <xf numFmtId="4" fontId="127" fillId="55" borderId="1" xfId="3" applyNumberFormat="1" applyFont="1" applyFill="1" applyBorder="1" applyAlignment="1" applyProtection="1">
      <alignment horizontal="center" vertical="center" wrapText="1"/>
    </xf>
    <xf numFmtId="4" fontId="127" fillId="55" borderId="1" xfId="3" applyNumberFormat="1" applyFont="1" applyFill="1" applyBorder="1" applyAlignment="1" applyProtection="1">
      <alignment horizontal="left" vertical="center" wrapText="1"/>
    </xf>
    <xf numFmtId="4" fontId="128" fillId="5" borderId="1" xfId="3" applyNumberFormat="1" applyFont="1" applyFill="1" applyBorder="1" applyAlignment="1" applyProtection="1">
      <alignment horizontal="left" vertical="center" wrapText="1"/>
    </xf>
    <xf numFmtId="4" fontId="129" fillId="5" borderId="1" xfId="3" applyNumberFormat="1" applyFont="1" applyFill="1" applyBorder="1" applyAlignment="1" applyProtection="1">
      <alignment horizontal="left" vertical="center" wrapText="1"/>
    </xf>
    <xf numFmtId="49" fontId="128" fillId="5" borderId="1" xfId="3" applyNumberFormat="1" applyFont="1" applyFill="1" applyBorder="1" applyAlignment="1" applyProtection="1">
      <alignment horizontal="center" vertical="center" wrapText="1"/>
    </xf>
    <xf numFmtId="4" fontId="130" fillId="5" borderId="1" xfId="3" applyNumberFormat="1" applyFont="1" applyFill="1" applyBorder="1" applyAlignment="1" applyProtection="1">
      <alignment horizontal="left" vertical="center" wrapText="1" indent="1"/>
    </xf>
    <xf numFmtId="4" fontId="130" fillId="5" borderId="1" xfId="3" applyNumberFormat="1" applyFont="1" applyFill="1" applyBorder="1" applyAlignment="1" applyProtection="1">
      <alignment horizontal="left" vertical="center" wrapText="1" indent="2"/>
    </xf>
    <xf numFmtId="4" fontId="127" fillId="5" borderId="1" xfId="3" applyNumberFormat="1" applyFont="1" applyFill="1" applyBorder="1" applyAlignment="1" applyProtection="1">
      <alignment horizontal="left" vertical="center" wrapText="1"/>
    </xf>
    <xf numFmtId="49" fontId="127" fillId="5" borderId="1" xfId="3" applyNumberFormat="1" applyFont="1" applyFill="1" applyBorder="1" applyAlignment="1" applyProtection="1">
      <alignment horizontal="center" vertical="center" wrapText="1"/>
    </xf>
    <xf numFmtId="0" fontId="5" fillId="52" borderId="0" xfId="0" applyFont="1" applyFill="1" applyProtection="1"/>
    <xf numFmtId="0" fontId="5" fillId="52" borderId="38" xfId="0" applyFont="1" applyFill="1" applyBorder="1" applyProtection="1"/>
    <xf numFmtId="0" fontId="145" fillId="52" borderId="36" xfId="0" applyFont="1" applyFill="1" applyBorder="1" applyAlignment="1" applyProtection="1">
      <alignment vertical="center" wrapText="1"/>
    </xf>
    <xf numFmtId="1" fontId="89" fillId="52" borderId="35" xfId="0" applyNumberFormat="1" applyFont="1" applyFill="1" applyBorder="1" applyAlignment="1" applyProtection="1">
      <alignment vertical="center" wrapText="1"/>
    </xf>
    <xf numFmtId="1" fontId="89" fillId="52" borderId="36" xfId="0" applyNumberFormat="1" applyFont="1" applyFill="1" applyBorder="1" applyAlignment="1" applyProtection="1">
      <alignment vertical="center" wrapText="1"/>
    </xf>
    <xf numFmtId="0" fontId="89" fillId="52" borderId="35" xfId="0" applyFont="1" applyFill="1" applyBorder="1" applyAlignment="1" applyProtection="1">
      <alignment vertical="center" wrapText="1"/>
    </xf>
    <xf numFmtId="0" fontId="89" fillId="52" borderId="36" xfId="0" applyFont="1" applyFill="1" applyBorder="1" applyAlignment="1" applyProtection="1">
      <alignment vertical="center" wrapText="1"/>
    </xf>
    <xf numFmtId="0" fontId="89" fillId="52" borderId="34" xfId="0" applyFont="1" applyFill="1" applyBorder="1" applyAlignment="1" applyProtection="1">
      <alignment vertical="center" wrapText="1"/>
    </xf>
    <xf numFmtId="14" fontId="89" fillId="52" borderId="35" xfId="0" applyNumberFormat="1" applyFont="1" applyFill="1" applyBorder="1" applyAlignment="1" applyProtection="1">
      <alignment vertical="center" wrapText="1"/>
    </xf>
    <xf numFmtId="0" fontId="5" fillId="52" borderId="40" xfId="0" applyFont="1" applyFill="1" applyBorder="1" applyProtection="1"/>
    <xf numFmtId="0" fontId="89" fillId="52" borderId="31" xfId="0" applyFont="1" applyFill="1" applyBorder="1" applyAlignment="1" applyProtection="1">
      <alignment vertical="center" wrapText="1"/>
    </xf>
    <xf numFmtId="0" fontId="89" fillId="52" borderId="39" xfId="0" applyFont="1" applyFill="1" applyBorder="1" applyAlignment="1" applyProtection="1">
      <alignment vertical="center" wrapText="1"/>
    </xf>
    <xf numFmtId="0" fontId="89" fillId="52" borderId="40" xfId="0" applyFont="1" applyFill="1" applyBorder="1" applyAlignment="1" applyProtection="1">
      <alignment vertical="center" wrapText="1"/>
    </xf>
    <xf numFmtId="0" fontId="89" fillId="52" borderId="51" xfId="0" applyFont="1" applyFill="1" applyBorder="1" applyAlignment="1" applyProtection="1">
      <alignment vertical="center" wrapText="1"/>
    </xf>
    <xf numFmtId="0" fontId="89" fillId="52" borderId="33" xfId="0" applyFont="1" applyFill="1" applyBorder="1" applyAlignment="1" applyProtection="1">
      <alignment vertical="center" wrapText="1"/>
    </xf>
    <xf numFmtId="0" fontId="89" fillId="52" borderId="43" xfId="0" applyFont="1" applyFill="1" applyBorder="1" applyAlignment="1" applyProtection="1">
      <alignment vertical="center" wrapText="1"/>
    </xf>
    <xf numFmtId="0" fontId="89" fillId="52" borderId="44" xfId="0" applyFont="1" applyFill="1" applyBorder="1" applyAlignment="1" applyProtection="1">
      <alignment vertical="center" wrapText="1"/>
    </xf>
    <xf numFmtId="0" fontId="89" fillId="52" borderId="52" xfId="0" applyFont="1" applyFill="1" applyBorder="1" applyAlignment="1" applyProtection="1">
      <alignment vertical="center" wrapText="1"/>
    </xf>
    <xf numFmtId="0" fontId="89" fillId="52" borderId="45" xfId="0" applyFont="1" applyFill="1" applyBorder="1" applyAlignment="1" applyProtection="1">
      <alignment horizontal="center" vertical="center" wrapText="1"/>
    </xf>
    <xf numFmtId="0" fontId="89" fillId="52" borderId="46" xfId="0" applyFont="1" applyFill="1" applyBorder="1" applyAlignment="1" applyProtection="1">
      <alignment horizontal="center" vertical="center" wrapText="1"/>
    </xf>
    <xf numFmtId="0" fontId="89" fillId="52" borderId="32" xfId="0" applyFont="1" applyFill="1" applyBorder="1" applyAlignment="1" applyProtection="1">
      <alignment horizontal="center" vertical="center" wrapText="1"/>
    </xf>
    <xf numFmtId="0" fontId="89" fillId="52" borderId="33" xfId="0" applyFont="1" applyFill="1" applyBorder="1" applyAlignment="1" applyProtection="1">
      <alignment horizontal="center" vertical="center" wrapText="1"/>
    </xf>
    <xf numFmtId="0" fontId="102" fillId="52" borderId="48" xfId="0" applyFont="1" applyFill="1" applyBorder="1" applyAlignment="1" applyProtection="1">
      <alignment vertical="center" wrapText="1"/>
    </xf>
    <xf numFmtId="0" fontId="102" fillId="52" borderId="61" xfId="0" applyFont="1" applyFill="1" applyBorder="1" applyAlignment="1" applyProtection="1">
      <alignment vertical="center" wrapText="1"/>
    </xf>
    <xf numFmtId="0" fontId="102" fillId="52" borderId="35" xfId="0" applyFont="1" applyFill="1" applyBorder="1" applyAlignment="1" applyProtection="1">
      <alignment vertical="center" wrapText="1"/>
    </xf>
    <xf numFmtId="0" fontId="102" fillId="52" borderId="36" xfId="0" applyFont="1" applyFill="1" applyBorder="1" applyAlignment="1" applyProtection="1">
      <alignment vertical="center" wrapText="1"/>
    </xf>
    <xf numFmtId="4" fontId="0" fillId="52" borderId="30" xfId="1204" applyNumberFormat="1" applyFont="1" applyFill="1" applyBorder="1" applyAlignment="1" applyProtection="1">
      <alignment horizontal="center" vertical="center" wrapText="1"/>
    </xf>
    <xf numFmtId="0" fontId="145" fillId="52" borderId="33" xfId="0" applyFont="1" applyFill="1" applyBorder="1" applyAlignment="1" applyProtection="1">
      <alignment horizontal="center" vertical="center" wrapText="1"/>
    </xf>
    <xf numFmtId="0" fontId="145" fillId="52" borderId="34" xfId="0" applyFont="1" applyFill="1" applyBorder="1" applyAlignment="1" applyProtection="1">
      <alignment vertical="center" wrapText="1"/>
    </xf>
    <xf numFmtId="0" fontId="145" fillId="52" borderId="35" xfId="0" applyFont="1" applyFill="1" applyBorder="1" applyAlignment="1" applyProtection="1">
      <alignment vertical="center" wrapText="1"/>
    </xf>
    <xf numFmtId="4" fontId="8" fillId="52" borderId="30" xfId="1204" applyNumberFormat="1" applyFont="1" applyFill="1" applyBorder="1" applyAlignment="1" applyProtection="1">
      <alignment horizontal="center" vertical="center" wrapText="1"/>
    </xf>
    <xf numFmtId="4" fontId="145" fillId="52" borderId="50" xfId="0" applyNumberFormat="1" applyFont="1" applyFill="1" applyBorder="1" applyAlignment="1" applyProtection="1">
      <alignment horizontal="center" vertical="center" wrapText="1"/>
    </xf>
    <xf numFmtId="4" fontId="8" fillId="52" borderId="49" xfId="0" applyNumberFormat="1" applyFont="1" applyFill="1" applyBorder="1" applyAlignment="1" applyProtection="1">
      <alignment horizontal="center" vertical="center" wrapText="1"/>
    </xf>
    <xf numFmtId="0" fontId="5" fillId="52" borderId="0" xfId="0" applyFont="1" applyFill="1" applyAlignment="1" applyProtection="1">
      <alignment vertical="center" wrapText="1"/>
    </xf>
    <xf numFmtId="0" fontId="5" fillId="52" borderId="40" xfId="0" applyFont="1" applyFill="1" applyBorder="1" applyAlignment="1" applyProtection="1">
      <alignment vertical="center" wrapText="1"/>
    </xf>
    <xf numFmtId="0" fontId="102" fillId="52" borderId="47" xfId="0" applyFont="1" applyFill="1" applyBorder="1" applyAlignment="1" applyProtection="1">
      <alignment vertical="center" wrapText="1"/>
    </xf>
    <xf numFmtId="0" fontId="145" fillId="52" borderId="0" xfId="0" applyFont="1" applyFill="1" applyAlignment="1" applyProtection="1">
      <alignment vertical="center" wrapText="1"/>
    </xf>
    <xf numFmtId="0" fontId="116" fillId="52" borderId="31" xfId="0" applyFont="1" applyFill="1" applyBorder="1" applyAlignment="1" applyProtection="1">
      <alignment vertical="center" wrapText="1"/>
    </xf>
    <xf numFmtId="0" fontId="116" fillId="52" borderId="39" xfId="0" applyFont="1" applyFill="1" applyBorder="1" applyAlignment="1" applyProtection="1">
      <alignment vertical="center" wrapText="1"/>
    </xf>
    <xf numFmtId="0" fontId="116" fillId="52" borderId="40" xfId="0" applyFont="1" applyFill="1" applyBorder="1" applyAlignment="1" applyProtection="1">
      <alignment vertical="center" wrapText="1"/>
    </xf>
    <xf numFmtId="0" fontId="116" fillId="52" borderId="51" xfId="0" applyFont="1" applyFill="1" applyBorder="1" applyAlignment="1" applyProtection="1">
      <alignment vertical="center" wrapText="1"/>
    </xf>
    <xf numFmtId="0" fontId="116" fillId="52" borderId="35" xfId="0" applyFont="1" applyFill="1" applyBorder="1" applyAlignment="1" applyProtection="1">
      <alignment vertical="center" wrapText="1"/>
    </xf>
    <xf numFmtId="0" fontId="116" fillId="52" borderId="36" xfId="0" applyFont="1" applyFill="1" applyBorder="1" applyAlignment="1" applyProtection="1">
      <alignment vertical="center" wrapText="1"/>
    </xf>
    <xf numFmtId="0" fontId="116" fillId="52" borderId="33" xfId="0" applyFont="1" applyFill="1" applyBorder="1" applyAlignment="1" applyProtection="1">
      <alignment vertical="center" wrapText="1"/>
    </xf>
    <xf numFmtId="0" fontId="116" fillId="52" borderId="53" xfId="0" applyFont="1" applyFill="1" applyBorder="1" applyAlignment="1" applyProtection="1">
      <alignment vertical="center" wrapText="1"/>
    </xf>
    <xf numFmtId="0" fontId="116" fillId="52" borderId="38" xfId="0" applyFont="1" applyFill="1" applyBorder="1" applyAlignment="1" applyProtection="1">
      <alignment vertical="center" wrapText="1"/>
    </xf>
    <xf numFmtId="0" fontId="116" fillId="52" borderId="54" xfId="0" applyFont="1" applyFill="1" applyBorder="1" applyAlignment="1" applyProtection="1">
      <alignment vertical="center" wrapText="1"/>
    </xf>
    <xf numFmtId="0" fontId="116" fillId="52" borderId="55" xfId="0" applyFont="1" applyFill="1" applyBorder="1" applyAlignment="1" applyProtection="1">
      <alignment horizontal="center" vertical="center" wrapText="1"/>
    </xf>
    <xf numFmtId="0" fontId="116" fillId="52" borderId="56" xfId="0" applyFont="1" applyFill="1" applyBorder="1" applyAlignment="1" applyProtection="1">
      <alignment horizontal="center" vertical="center" wrapText="1"/>
    </xf>
    <xf numFmtId="0" fontId="116" fillId="52" borderId="32" xfId="0" applyFont="1" applyFill="1" applyBorder="1" applyAlignment="1" applyProtection="1">
      <alignment horizontal="center" vertical="center" wrapText="1"/>
    </xf>
    <xf numFmtId="1" fontId="116" fillId="52" borderId="33" xfId="0" applyNumberFormat="1" applyFont="1" applyFill="1" applyBorder="1" applyAlignment="1" applyProtection="1">
      <alignment horizontal="center" vertical="center" wrapText="1"/>
    </xf>
    <xf numFmtId="0" fontId="102" fillId="52" borderId="30" xfId="0" applyFont="1" applyFill="1" applyBorder="1" applyAlignment="1" applyProtection="1">
      <alignment horizontal="center" vertical="center" wrapText="1"/>
    </xf>
    <xf numFmtId="0" fontId="102" fillId="52" borderId="57" xfId="0" applyFont="1" applyFill="1" applyBorder="1" applyAlignment="1" applyProtection="1">
      <alignment vertical="center" wrapText="1"/>
    </xf>
    <xf numFmtId="0" fontId="102" fillId="52" borderId="58" xfId="0" applyFont="1" applyFill="1" applyBorder="1" applyAlignment="1" applyProtection="1">
      <alignment horizontal="center" vertical="center" wrapText="1"/>
    </xf>
    <xf numFmtId="0" fontId="5" fillId="52" borderId="30" xfId="0" applyFont="1" applyFill="1" applyBorder="1" applyAlignment="1" applyProtection="1">
      <alignment vertical="center" wrapText="1"/>
    </xf>
    <xf numFmtId="0" fontId="102" fillId="52" borderId="33" xfId="0" applyFont="1" applyFill="1" applyBorder="1" applyAlignment="1" applyProtection="1">
      <alignment horizontal="center" vertical="center" wrapText="1"/>
    </xf>
    <xf numFmtId="4" fontId="0" fillId="52" borderId="59" xfId="0" applyNumberFormat="1" applyFont="1" applyFill="1" applyBorder="1" applyAlignment="1" applyProtection="1">
      <alignment horizontal="center" vertical="center" wrapText="1"/>
    </xf>
    <xf numFmtId="0" fontId="5" fillId="52" borderId="34" xfId="0" applyFont="1" applyFill="1" applyBorder="1" applyAlignment="1" applyProtection="1">
      <alignment horizontal="center" vertical="center" wrapText="1"/>
    </xf>
    <xf numFmtId="4" fontId="0" fillId="52" borderId="60"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protection hidden="1"/>
    </xf>
    <xf numFmtId="49" fontId="6" fillId="5" borderId="1" xfId="0" applyNumberFormat="1" applyFont="1" applyFill="1" applyBorder="1" applyAlignment="1" applyProtection="1">
      <alignment horizontal="center" vertical="center" wrapText="1"/>
      <protection hidden="1"/>
    </xf>
    <xf numFmtId="4" fontId="102" fillId="52" borderId="1" xfId="1169" applyNumberFormat="1" applyFont="1" applyFill="1" applyBorder="1" applyAlignment="1" applyProtection="1">
      <alignment horizontal="center" vertical="center" wrapText="1" shrinkToFit="1"/>
    </xf>
    <xf numFmtId="4" fontId="106" fillId="3" borderId="1" xfId="1169" applyNumberFormat="1" applyFont="1" applyFill="1" applyBorder="1" applyAlignment="1" applyProtection="1">
      <alignment horizontal="center" vertical="center"/>
      <protection hidden="1"/>
    </xf>
    <xf numFmtId="0" fontId="106" fillId="3" borderId="1" xfId="1169" applyFont="1" applyFill="1" applyBorder="1" applyAlignment="1" applyProtection="1">
      <alignment horizontal="center" vertical="center"/>
      <protection hidden="1"/>
    </xf>
    <xf numFmtId="0" fontId="8" fillId="0" borderId="0" xfId="0" applyFont="1" applyFill="1" applyAlignment="1" applyProtection="1">
      <alignment vertical="center"/>
    </xf>
    <xf numFmtId="0" fontId="0" fillId="0" borderId="0" xfId="0" applyFont="1" applyFill="1" applyProtection="1"/>
    <xf numFmtId="0" fontId="8" fillId="0" borderId="0" xfId="0" applyFont="1" applyFill="1" applyBorder="1" applyAlignment="1" applyProtection="1">
      <alignment vertical="center"/>
    </xf>
    <xf numFmtId="0" fontId="131" fillId="0" borderId="0" xfId="1183" applyFont="1" applyFill="1" applyProtection="1"/>
    <xf numFmtId="14" fontId="116" fillId="52" borderId="35" xfId="0" applyNumberFormat="1" applyFont="1" applyFill="1" applyBorder="1" applyAlignment="1" applyProtection="1">
      <alignment horizontal="center" vertical="center"/>
    </xf>
    <xf numFmtId="4" fontId="7" fillId="52" borderId="1" xfId="1204" applyNumberFormat="1" applyFont="1" applyFill="1" applyBorder="1" applyAlignment="1" applyProtection="1">
      <alignment horizontal="center" vertical="center"/>
    </xf>
    <xf numFmtId="1" fontId="102" fillId="52" borderId="34" xfId="0" applyNumberFormat="1" applyFont="1" applyFill="1" applyBorder="1" applyAlignment="1" applyProtection="1">
      <alignment vertical="center"/>
    </xf>
    <xf numFmtId="1" fontId="102" fillId="52" borderId="35" xfId="0" applyNumberFormat="1" applyFont="1" applyFill="1" applyBorder="1" applyAlignment="1" applyProtection="1">
      <alignment vertical="center" wrapText="1"/>
    </xf>
    <xf numFmtId="1" fontId="102" fillId="52" borderId="36" xfId="0" applyNumberFormat="1" applyFont="1" applyFill="1" applyBorder="1" applyAlignment="1" applyProtection="1">
      <alignment vertical="center" wrapText="1"/>
    </xf>
    <xf numFmtId="14" fontId="89" fillId="52" borderId="35" xfId="0" applyNumberFormat="1" applyFont="1" applyFill="1" applyBorder="1" applyAlignment="1" applyProtection="1">
      <alignment horizontal="center" vertical="center" wrapText="1"/>
    </xf>
    <xf numFmtId="3" fontId="143" fillId="59" borderId="41" xfId="1169" applyNumberFormat="1" applyFont="1" applyFill="1" applyBorder="1" applyAlignment="1" applyProtection="1">
      <alignment horizontal="center" vertical="center"/>
    </xf>
    <xf numFmtId="195" fontId="106" fillId="5" borderId="0" xfId="1169" applyNumberFormat="1" applyFont="1" applyFill="1" applyBorder="1" applyAlignment="1" applyProtection="1">
      <alignment horizontal="center" vertical="center" wrapText="1"/>
      <protection hidden="1"/>
    </xf>
    <xf numFmtId="0" fontId="106" fillId="3" borderId="1" xfId="1169" applyFont="1" applyFill="1" applyBorder="1" applyAlignment="1" applyProtection="1">
      <alignment horizontal="left" vertical="distributed"/>
      <protection hidden="1"/>
    </xf>
    <xf numFmtId="4" fontId="102" fillId="6" borderId="1" xfId="1169" applyNumberFormat="1" applyFont="1" applyFill="1" applyBorder="1" applyAlignment="1" applyProtection="1">
      <alignment horizontal="center" vertical="center" wrapText="1" shrinkToFit="1"/>
      <protection locked="0" hidden="1"/>
    </xf>
    <xf numFmtId="0" fontId="102" fillId="48" borderId="1" xfId="0" applyFont="1" applyFill="1" applyBorder="1" applyAlignment="1" applyProtection="1">
      <alignment horizontal="center" vertical="center" wrapText="1" shrinkToFit="1"/>
      <protection locked="0"/>
    </xf>
    <xf numFmtId="0" fontId="147" fillId="48" borderId="1" xfId="0" applyFont="1" applyFill="1" applyBorder="1" applyAlignment="1" applyProtection="1">
      <alignment horizontal="center" vertical="center" wrapText="1" shrinkToFit="1"/>
      <protection locked="0"/>
    </xf>
    <xf numFmtId="0" fontId="102" fillId="6" borderId="1" xfId="0" applyFont="1" applyFill="1" applyBorder="1" applyAlignment="1" applyProtection="1">
      <alignment horizontal="center" vertical="center" wrapText="1" shrinkToFit="1"/>
      <protection locked="0"/>
    </xf>
    <xf numFmtId="0" fontId="5" fillId="6" borderId="1" xfId="1169" applyFont="1" applyFill="1" applyBorder="1" applyAlignment="1" applyProtection="1">
      <alignment wrapText="1"/>
      <protection locked="0"/>
    </xf>
    <xf numFmtId="49" fontId="5" fillId="6" borderId="1" xfId="1219" applyNumberFormat="1" applyFont="1" applyFill="1" applyBorder="1" applyAlignment="1" applyProtection="1">
      <alignment horizontal="center" vertical="center" wrapText="1"/>
      <protection locked="0"/>
    </xf>
    <xf numFmtId="0" fontId="0" fillId="6" borderId="1" xfId="0" applyFill="1" applyBorder="1" applyAlignment="1" applyProtection="1">
      <alignment wrapText="1"/>
      <protection locked="0"/>
    </xf>
    <xf numFmtId="187" fontId="0" fillId="6" borderId="1" xfId="0" applyNumberFormat="1" applyFill="1" applyBorder="1" applyProtection="1">
      <protection locked="0"/>
    </xf>
    <xf numFmtId="17" fontId="102" fillId="48" borderId="1" xfId="0" applyNumberFormat="1" applyFont="1" applyFill="1" applyBorder="1" applyAlignment="1" applyProtection="1">
      <alignment horizontal="center" vertical="center" wrapText="1" shrinkToFit="1"/>
      <protection locked="0"/>
    </xf>
    <xf numFmtId="1" fontId="7" fillId="5" borderId="26" xfId="1203" applyNumberFormat="1" applyFont="1" applyFill="1" applyBorder="1" applyAlignment="1" applyProtection="1">
      <alignment horizontal="center" vertical="center" wrapText="1"/>
    </xf>
    <xf numFmtId="4" fontId="131" fillId="0" borderId="0" xfId="0" applyNumberFormat="1" applyFont="1" applyProtection="1">
      <protection locked="0"/>
    </xf>
    <xf numFmtId="0" fontId="148" fillId="0" borderId="0" xfId="1169" applyFont="1" applyAlignment="1" applyProtection="1">
      <alignment vertical="center" wrapText="1"/>
    </xf>
    <xf numFmtId="0" fontId="150" fillId="0" borderId="0" xfId="1169" applyFont="1" applyBorder="1" applyAlignment="1" applyProtection="1">
      <alignment horizontal="left" vertical="center" wrapText="1" indent="2"/>
    </xf>
    <xf numFmtId="0" fontId="150" fillId="0" borderId="0" xfId="1169" applyFont="1" applyBorder="1" applyAlignment="1" applyProtection="1">
      <alignment horizontal="center"/>
    </xf>
    <xf numFmtId="0" fontId="150" fillId="0" borderId="0" xfId="1169" applyFont="1" applyBorder="1" applyProtection="1"/>
    <xf numFmtId="2" fontId="150" fillId="0" borderId="0" xfId="1169" applyNumberFormat="1" applyFont="1" applyBorder="1" applyProtection="1"/>
    <xf numFmtId="4" fontId="6" fillId="3" borderId="1" xfId="1169" applyNumberFormat="1" applyFont="1" applyFill="1" applyBorder="1" applyAlignment="1" applyProtection="1">
      <alignment horizontal="center"/>
    </xf>
    <xf numFmtId="4" fontId="5" fillId="3" borderId="1" xfId="1169" applyNumberFormat="1" applyFont="1" applyFill="1" applyBorder="1" applyAlignment="1" applyProtection="1">
      <alignment horizontal="center"/>
    </xf>
    <xf numFmtId="191" fontId="5" fillId="52" borderId="1" xfId="1169" applyNumberFormat="1" applyFont="1" applyFill="1" applyBorder="1" applyAlignment="1" applyProtection="1">
      <alignment horizontal="center"/>
      <protection locked="0"/>
    </xf>
    <xf numFmtId="0" fontId="6" fillId="0" borderId="1" xfId="1169" applyFont="1" applyBorder="1" applyAlignment="1" applyProtection="1">
      <alignment vertical="center" wrapText="1"/>
      <protection locked="0"/>
    </xf>
    <xf numFmtId="187" fontId="5" fillId="3" borderId="1" xfId="1169" applyNumberFormat="1" applyFont="1" applyFill="1" applyBorder="1" applyAlignment="1" applyProtection="1">
      <alignment horizontal="center"/>
    </xf>
    <xf numFmtId="0" fontId="0" fillId="0" borderId="0" xfId="0" applyAlignment="1" applyProtection="1">
      <alignment wrapText="1"/>
      <protection locked="0"/>
    </xf>
    <xf numFmtId="0" fontId="102" fillId="0" borderId="0" xfId="1169" applyFont="1" applyAlignment="1" applyProtection="1">
      <alignment wrapText="1"/>
      <protection locked="0"/>
    </xf>
    <xf numFmtId="0" fontId="91" fillId="0" borderId="0" xfId="1169" applyFont="1" applyBorder="1" applyAlignment="1" applyProtection="1">
      <alignment vertical="distributed"/>
      <protection locked="0"/>
    </xf>
    <xf numFmtId="0" fontId="102" fillId="0" borderId="0" xfId="1169" applyFont="1" applyAlignment="1" applyProtection="1">
      <alignment horizontal="right"/>
      <protection locked="0"/>
    </xf>
    <xf numFmtId="0" fontId="102" fillId="0" borderId="0" xfId="1169" applyFont="1" applyAlignment="1" applyProtection="1">
      <alignment horizontal="right" wrapText="1"/>
      <protection locked="0"/>
    </xf>
    <xf numFmtId="0" fontId="131" fillId="0" borderId="0" xfId="0" applyFont="1" applyBorder="1" applyProtection="1">
      <protection locked="0"/>
    </xf>
    <xf numFmtId="4" fontId="131" fillId="0" borderId="0" xfId="0" applyNumberFormat="1" applyFont="1" applyBorder="1" applyProtection="1">
      <protection locked="0"/>
    </xf>
    <xf numFmtId="0" fontId="0" fillId="0" borderId="0" xfId="0" applyBorder="1" applyProtection="1">
      <protection locked="0"/>
    </xf>
    <xf numFmtId="4" fontId="0" fillId="0" borderId="0" xfId="0" applyNumberFormat="1" applyBorder="1" applyProtection="1">
      <protection locked="0"/>
    </xf>
    <xf numFmtId="0" fontId="102" fillId="53" borderId="0" xfId="1169" applyFont="1" applyFill="1" applyProtection="1">
      <protection locked="0"/>
    </xf>
    <xf numFmtId="0" fontId="109" fillId="6" borderId="1" xfId="0" applyFont="1" applyFill="1" applyBorder="1" applyAlignment="1" applyProtection="1">
      <alignment horizontal="center" vertical="center" wrapText="1" shrinkToFit="1"/>
      <protection locked="0"/>
    </xf>
    <xf numFmtId="0" fontId="106" fillId="5" borderId="27" xfId="1169" applyFont="1" applyFill="1" applyBorder="1" applyAlignment="1" applyProtection="1">
      <alignment horizontal="center" vertical="center" wrapText="1"/>
    </xf>
    <xf numFmtId="0" fontId="106" fillId="5" borderId="21" xfId="1169" applyFont="1" applyFill="1" applyBorder="1" applyAlignment="1" applyProtection="1">
      <alignment horizontal="center" vertical="center" wrapText="1"/>
    </xf>
    <xf numFmtId="0" fontId="132" fillId="0" borderId="1" xfId="0" applyFont="1" applyBorder="1" applyAlignment="1" applyProtection="1">
      <alignment horizontal="center" vertical="center"/>
    </xf>
    <xf numFmtId="1" fontId="8" fillId="5" borderId="26" xfId="1203" applyNumberFormat="1" applyFont="1" applyFill="1" applyBorder="1" applyAlignment="1" applyProtection="1">
      <alignment horizontal="center" vertical="center" wrapText="1"/>
    </xf>
    <xf numFmtId="3" fontId="8" fillId="5" borderId="1" xfId="1169" applyNumberFormat="1" applyFont="1" applyFill="1" applyBorder="1" applyAlignment="1" applyProtection="1">
      <alignment horizontal="center" vertical="center" wrapText="1"/>
    </xf>
    <xf numFmtId="0" fontId="8" fillId="0" borderId="0" xfId="1169" applyFont="1" applyFill="1" applyAlignment="1" applyProtection="1">
      <alignment horizontal="center" vertical="center"/>
    </xf>
    <xf numFmtId="0" fontId="124" fillId="5" borderId="1" xfId="1203" applyFont="1" applyFill="1" applyBorder="1" applyAlignment="1" applyProtection="1">
      <alignment horizontal="center" vertical="center" wrapText="1" readingOrder="1"/>
    </xf>
    <xf numFmtId="49" fontId="8" fillId="2" borderId="1" xfId="1203" applyNumberFormat="1" applyFont="1" applyFill="1" applyBorder="1" applyAlignment="1" applyProtection="1">
      <alignment horizontal="center" vertical="center" wrapText="1"/>
    </xf>
    <xf numFmtId="0" fontId="132" fillId="5" borderId="5" xfId="0" applyFont="1" applyFill="1" applyBorder="1" applyAlignment="1" applyProtection="1">
      <alignment horizontal="center"/>
    </xf>
    <xf numFmtId="1" fontId="7" fillId="5" borderId="1" xfId="1203" applyNumberFormat="1" applyFont="1" applyFill="1" applyBorder="1" applyAlignment="1" applyProtection="1">
      <alignment horizontal="left" vertical="center" wrapText="1"/>
    </xf>
    <xf numFmtId="1" fontId="6" fillId="4" borderId="0" xfId="1" applyNumberFormat="1" applyFont="1" applyFill="1" applyBorder="1" applyAlignment="1" applyProtection="1">
      <alignment horizontal="center" vertical="center" wrapText="1"/>
      <protection locked="0"/>
    </xf>
    <xf numFmtId="2" fontId="6" fillId="4" borderId="1" xfId="1" applyNumberFormat="1" applyFont="1" applyFill="1" applyBorder="1" applyAlignment="1" applyProtection="1">
      <alignment horizontal="center" vertical="center" wrapText="1"/>
      <protection locked="0"/>
    </xf>
    <xf numFmtId="1" fontId="8" fillId="0" borderId="0" xfId="0" applyNumberFormat="1" applyFont="1" applyBorder="1" applyAlignment="1">
      <alignment horizontal="center"/>
    </xf>
    <xf numFmtId="0" fontId="0" fillId="0" borderId="0" xfId="0" applyBorder="1"/>
    <xf numFmtId="0" fontId="8" fillId="0" borderId="0" xfId="0" applyFont="1" applyBorder="1" applyAlignment="1">
      <alignment wrapText="1"/>
    </xf>
    <xf numFmtId="1" fontId="0" fillId="0" borderId="0" xfId="0" applyNumberFormat="1" applyFont="1" applyBorder="1" applyAlignment="1" applyProtection="1">
      <alignment vertical="center"/>
    </xf>
    <xf numFmtId="0" fontId="0" fillId="0" borderId="0" xfId="0" applyFont="1" applyBorder="1" applyAlignment="1" applyProtection="1">
      <alignment vertical="center"/>
    </xf>
    <xf numFmtId="1" fontId="0" fillId="0" borderId="0" xfId="0" applyNumberFormat="1" applyBorder="1" applyAlignment="1">
      <alignment horizontal="left"/>
    </xf>
    <xf numFmtId="0" fontId="0" fillId="0" borderId="0" xfId="0" applyBorder="1" applyAlignment="1">
      <alignment wrapText="1"/>
    </xf>
    <xf numFmtId="1" fontId="0" fillId="0" borderId="0" xfId="0" applyNumberFormat="1" applyBorder="1" applyAlignment="1">
      <alignment horizontal="center"/>
    </xf>
    <xf numFmtId="2" fontId="6" fillId="6" borderId="1" xfId="0" applyNumberFormat="1" applyFont="1" applyFill="1" applyBorder="1" applyAlignment="1" applyProtection="1">
      <alignment horizontal="center" vertical="center" wrapText="1"/>
      <protection locked="0"/>
    </xf>
    <xf numFmtId="0" fontId="106" fillId="0" borderId="0" xfId="1169" applyFont="1" applyBorder="1" applyAlignment="1" applyProtection="1"/>
    <xf numFmtId="2" fontId="8" fillId="0" borderId="0" xfId="0" applyNumberFormat="1" applyFont="1" applyAlignment="1" applyProtection="1"/>
    <xf numFmtId="2" fontId="93" fillId="0" borderId="0" xfId="0" applyNumberFormat="1" applyFont="1" applyAlignment="1" applyProtection="1">
      <alignment horizontal="left"/>
    </xf>
    <xf numFmtId="0" fontId="0" fillId="0" borderId="0" xfId="0" applyFont="1" applyProtection="1">
      <protection locked="0"/>
    </xf>
    <xf numFmtId="0" fontId="0" fillId="0" borderId="0" xfId="0" applyFill="1" applyProtection="1">
      <protection locked="0"/>
    </xf>
    <xf numFmtId="49" fontId="90" fillId="0" borderId="0" xfId="1203" applyNumberFormat="1" applyFont="1" applyFill="1" applyBorder="1" applyAlignment="1" applyProtection="1">
      <alignment horizontal="left" vertical="center" wrapText="1"/>
    </xf>
    <xf numFmtId="4" fontId="93" fillId="0" borderId="0" xfId="1203" applyNumberFormat="1" applyFont="1" applyFill="1" applyBorder="1" applyAlignment="1" applyProtection="1">
      <alignment horizontal="left" vertical="center"/>
    </xf>
    <xf numFmtId="4" fontId="93" fillId="0" borderId="0" xfId="1203" applyNumberFormat="1" applyFont="1" applyFill="1" applyBorder="1" applyAlignment="1" applyProtection="1">
      <alignment horizontal="left" vertical="center" wrapText="1"/>
    </xf>
    <xf numFmtId="2" fontId="8" fillId="5" borderId="1" xfId="0" applyNumberFormat="1" applyFont="1" applyFill="1" applyBorder="1" applyAlignment="1" applyProtection="1">
      <alignment vertical="center" wrapText="1"/>
    </xf>
    <xf numFmtId="0" fontId="102" fillId="5" borderId="1" xfId="0" applyFont="1" applyFill="1" applyBorder="1" applyAlignment="1" applyProtection="1">
      <alignment horizontal="center" vertical="center" wrapText="1" shrinkToFit="1"/>
    </xf>
    <xf numFmtId="0" fontId="147" fillId="5" borderId="1" xfId="0" applyFont="1" applyFill="1" applyBorder="1" applyAlignment="1" applyProtection="1">
      <alignment horizontal="center" vertical="center" wrapText="1" shrinkToFit="1"/>
    </xf>
    <xf numFmtId="0" fontId="109" fillId="5" borderId="1" xfId="0" applyFont="1" applyFill="1" applyBorder="1" applyAlignment="1" applyProtection="1">
      <alignment horizontal="center" vertical="center" wrapText="1" shrinkToFit="1"/>
    </xf>
    <xf numFmtId="2" fontId="8" fillId="48" borderId="1" xfId="0" applyNumberFormat="1" applyFont="1" applyFill="1" applyBorder="1" applyAlignment="1" applyProtection="1">
      <alignment vertical="center" wrapText="1"/>
      <protection locked="0"/>
    </xf>
    <xf numFmtId="2" fontId="7" fillId="48" borderId="1" xfId="0" applyNumberFormat="1" applyFont="1" applyFill="1" applyBorder="1" applyAlignment="1" applyProtection="1">
      <alignment vertical="center" wrapText="1"/>
      <protection locked="0"/>
    </xf>
    <xf numFmtId="0" fontId="106" fillId="48" borderId="1" xfId="0" applyFont="1" applyFill="1" applyBorder="1" applyAlignment="1" applyProtection="1">
      <alignment horizontal="center" vertical="center" wrapText="1" shrinkToFit="1"/>
      <protection locked="0"/>
    </xf>
    <xf numFmtId="2" fontId="8" fillId="5" borderId="29" xfId="0" applyNumberFormat="1" applyFont="1" applyFill="1" applyBorder="1" applyAlignment="1" applyProtection="1">
      <alignment horizontal="left" vertical="center" wrapText="1"/>
    </xf>
    <xf numFmtId="0" fontId="102" fillId="5" borderId="29" xfId="0" applyFont="1" applyFill="1" applyBorder="1" applyAlignment="1" applyProtection="1">
      <alignment horizontal="center" vertical="center" wrapText="1" shrinkToFit="1"/>
    </xf>
    <xf numFmtId="0" fontId="0" fillId="0" borderId="0" xfId="0" applyFill="1" applyBorder="1" applyProtection="1">
      <protection locked="0"/>
    </xf>
    <xf numFmtId="0" fontId="102" fillId="6" borderId="29" xfId="0" applyFont="1" applyFill="1" applyBorder="1" applyAlignment="1" applyProtection="1">
      <alignment horizontal="center" vertical="center" wrapText="1" shrinkToFit="1"/>
      <protection locked="0"/>
    </xf>
    <xf numFmtId="2" fontId="0" fillId="0" borderId="0" xfId="0" applyNumberFormat="1" applyFont="1" applyFill="1" applyBorder="1" applyAlignment="1" applyProtection="1">
      <alignment vertical="center" wrapText="1"/>
      <protection locked="0"/>
    </xf>
    <xf numFmtId="0" fontId="102" fillId="0" borderId="0" xfId="0" applyFont="1" applyFill="1" applyBorder="1" applyAlignment="1" applyProtection="1">
      <alignment horizontal="center" vertical="center" wrapText="1" shrinkToFit="1"/>
      <protection locked="0"/>
    </xf>
    <xf numFmtId="2" fontId="8" fillId="5" borderId="1" xfId="0" applyNumberFormat="1" applyFont="1" applyFill="1" applyBorder="1" applyAlignment="1" applyProtection="1">
      <alignment horizontal="left" vertical="center" wrapText="1"/>
    </xf>
    <xf numFmtId="4" fontId="102" fillId="5" borderId="1" xfId="0" applyNumberFormat="1" applyFont="1" applyFill="1" applyBorder="1" applyAlignment="1" applyProtection="1">
      <alignment horizontal="center" vertical="center" wrapText="1" shrinkToFit="1"/>
    </xf>
    <xf numFmtId="2" fontId="108" fillId="5" borderId="1" xfId="0" applyNumberFormat="1" applyFont="1" applyFill="1" applyBorder="1" applyAlignment="1" applyProtection="1">
      <alignment vertical="center" wrapText="1"/>
    </xf>
    <xf numFmtId="2" fontId="0" fillId="5" borderId="1" xfId="0" applyNumberFormat="1" applyFont="1" applyFill="1" applyBorder="1" applyAlignment="1" applyProtection="1">
      <alignment horizontal="center" vertical="center" wrapText="1"/>
    </xf>
    <xf numFmtId="4" fontId="102" fillId="6" borderId="1" xfId="0" applyNumberFormat="1" applyFont="1" applyFill="1" applyBorder="1" applyAlignment="1" applyProtection="1">
      <alignment horizontal="center" vertical="center" wrapText="1" shrinkToFit="1"/>
      <protection locked="0"/>
    </xf>
    <xf numFmtId="4" fontId="102" fillId="52" borderId="1" xfId="0" applyNumberFormat="1" applyFont="1" applyFill="1" applyBorder="1" applyAlignment="1" applyProtection="1">
      <alignment horizontal="center" vertical="center" wrapText="1" shrinkToFit="1"/>
      <protection locked="0"/>
    </xf>
    <xf numFmtId="0" fontId="102" fillId="0" borderId="0" xfId="0" applyFont="1" applyFill="1" applyBorder="1" applyAlignment="1" applyProtection="1">
      <alignment horizontal="left" vertical="center" wrapText="1" indent="3" shrinkToFit="1"/>
      <protection locked="0"/>
    </xf>
    <xf numFmtId="0" fontId="90" fillId="0" borderId="0" xfId="0" applyFont="1" applyProtection="1">
      <protection locked="0"/>
    </xf>
    <xf numFmtId="0" fontId="114" fillId="0" borderId="0" xfId="0" applyFont="1" applyFill="1" applyProtection="1">
      <protection locked="0"/>
    </xf>
    <xf numFmtId="199" fontId="7" fillId="5" borderId="1" xfId="3" applyNumberFormat="1" applyFont="1" applyFill="1" applyBorder="1" applyAlignment="1" applyProtection="1">
      <alignment horizontal="center" vertical="center" wrapText="1"/>
    </xf>
    <xf numFmtId="2" fontId="7" fillId="5" borderId="1" xfId="1169" applyNumberFormat="1" applyFont="1" applyFill="1" applyBorder="1" applyAlignment="1" applyProtection="1">
      <alignment horizontal="left" vertical="center" wrapText="1"/>
    </xf>
    <xf numFmtId="2" fontId="7" fillId="5" borderId="1" xfId="1169" applyNumberFormat="1" applyFont="1" applyFill="1" applyBorder="1" applyAlignment="1" applyProtection="1">
      <alignment horizontal="left" wrapText="1"/>
    </xf>
    <xf numFmtId="2" fontId="131" fillId="3" borderId="1" xfId="1203" applyNumberFormat="1" applyFont="1" applyFill="1" applyBorder="1" applyAlignment="1" applyProtection="1">
      <alignment horizontal="left" vertical="center" wrapText="1"/>
    </xf>
    <xf numFmtId="187" fontId="7" fillId="3" borderId="1" xfId="1203" applyNumberFormat="1" applyFont="1" applyFill="1" applyBorder="1" applyAlignment="1" applyProtection="1">
      <alignment horizontal="center" vertical="center" wrapText="1"/>
    </xf>
    <xf numFmtId="199" fontId="7" fillId="3" borderId="1" xfId="1203" applyNumberFormat="1" applyFont="1" applyFill="1" applyBorder="1" applyAlignment="1" applyProtection="1">
      <alignment horizontal="center" vertical="center" wrapText="1"/>
    </xf>
    <xf numFmtId="2" fontId="113" fillId="3" borderId="1" xfId="1203" applyNumberFormat="1" applyFont="1" applyFill="1" applyBorder="1" applyAlignment="1" applyProtection="1">
      <alignment horizontal="left" vertical="center" wrapText="1"/>
    </xf>
    <xf numFmtId="187" fontId="8" fillId="3" borderId="1" xfId="1203" applyNumberFormat="1" applyFont="1" applyFill="1" applyBorder="1" applyAlignment="1" applyProtection="1">
      <alignment horizontal="center" vertical="center" wrapText="1"/>
    </xf>
    <xf numFmtId="2" fontId="131" fillId="3" borderId="77" xfId="1203" applyNumberFormat="1" applyFont="1" applyFill="1" applyBorder="1" applyAlignment="1" applyProtection="1">
      <alignment horizontal="left" vertical="center" wrapText="1"/>
    </xf>
    <xf numFmtId="199" fontId="8" fillId="3" borderId="1" xfId="1203" applyNumberFormat="1" applyFont="1" applyFill="1" applyBorder="1" applyAlignment="1" applyProtection="1">
      <alignment horizontal="center" vertical="center" wrapText="1"/>
    </xf>
    <xf numFmtId="2" fontId="157" fillId="3" borderId="1" xfId="1203" applyNumberFormat="1" applyFont="1" applyFill="1" applyBorder="1" applyAlignment="1" applyProtection="1">
      <alignment horizontal="right" vertical="center" wrapText="1"/>
    </xf>
    <xf numFmtId="0" fontId="159" fillId="0" borderId="0" xfId="1203" applyFont="1" applyFill="1" applyBorder="1" applyAlignment="1" applyProtection="1">
      <alignment vertical="center"/>
      <protection locked="0"/>
    </xf>
    <xf numFmtId="0" fontId="158" fillId="0" borderId="0" xfId="1203" applyFont="1" applyFill="1" applyBorder="1" applyAlignment="1" applyProtection="1">
      <alignment horizontal="center" vertical="center"/>
    </xf>
    <xf numFmtId="0" fontId="159" fillId="0" borderId="0" xfId="1203" applyFont="1" applyFill="1" applyBorder="1" applyAlignment="1" applyProtection="1">
      <alignment horizontal="center"/>
      <protection locked="0"/>
    </xf>
    <xf numFmtId="0" fontId="8" fillId="0" borderId="0" xfId="1169" applyFont="1" applyFill="1" applyBorder="1" applyAlignment="1" applyProtection="1">
      <alignment horizontal="center" vertical="center" wrapText="1"/>
    </xf>
    <xf numFmtId="0" fontId="93" fillId="0" borderId="0" xfId="1169" applyFont="1" applyFill="1" applyBorder="1" applyAlignment="1" applyProtection="1">
      <alignment horizontal="center" wrapText="1"/>
    </xf>
    <xf numFmtId="0" fontId="159" fillId="0" borderId="0" xfId="1203" applyFont="1" applyFill="1" applyAlignment="1" applyProtection="1">
      <alignment horizontal="center" vertical="center" wrapText="1"/>
    </xf>
    <xf numFmtId="0" fontId="160" fillId="0" borderId="0" xfId="1203" applyFont="1" applyFill="1" applyProtection="1">
      <protection locked="0"/>
    </xf>
    <xf numFmtId="1" fontId="160" fillId="5" borderId="1" xfId="1203" applyNumberFormat="1" applyFont="1" applyFill="1" applyBorder="1" applyAlignment="1" applyProtection="1">
      <alignment horizontal="center" vertical="center" wrapText="1"/>
    </xf>
    <xf numFmtId="0" fontId="8" fillId="56" borderId="1" xfId="1450" applyFont="1" applyFill="1" applyBorder="1" applyAlignment="1" applyProtection="1">
      <alignment horizontal="center" vertical="center"/>
    </xf>
    <xf numFmtId="0" fontId="106" fillId="56" borderId="1" xfId="1450" applyFont="1" applyFill="1" applyBorder="1" applyAlignment="1" applyProtection="1">
      <alignment horizontal="center" vertical="center"/>
    </xf>
    <xf numFmtId="4" fontId="127" fillId="56" borderId="1" xfId="1450" applyNumberFormat="1" applyFont="1" applyFill="1" applyBorder="1" applyAlignment="1" applyProtection="1">
      <alignment horizontal="center" vertical="center"/>
    </xf>
    <xf numFmtId="3" fontId="90" fillId="5" borderId="1" xfId="1450" applyNumberFormat="1" applyFont="1" applyFill="1" applyBorder="1" applyAlignment="1" applyProtection="1">
      <alignment horizontal="center" vertical="center"/>
    </xf>
    <xf numFmtId="3" fontId="106" fillId="5" borderId="1" xfId="1450" applyNumberFormat="1" applyFont="1" applyFill="1" applyBorder="1" applyAlignment="1" applyProtection="1">
      <alignment wrapText="1"/>
    </xf>
    <xf numFmtId="4" fontId="127" fillId="5" borderId="1" xfId="1450" applyNumberFormat="1" applyFont="1" applyFill="1" applyBorder="1" applyAlignment="1" applyProtection="1">
      <alignment horizontal="center" vertical="center" wrapText="1"/>
    </xf>
    <xf numFmtId="3" fontId="101" fillId="5" borderId="1" xfId="1450" applyNumberFormat="1" applyFont="1" applyFill="1" applyBorder="1" applyAlignment="1" applyProtection="1">
      <alignment horizontal="center" vertical="center"/>
    </xf>
    <xf numFmtId="0" fontId="102" fillId="5" borderId="1" xfId="1450" applyFont="1" applyFill="1" applyBorder="1" applyAlignment="1" applyProtection="1">
      <alignment horizontal="left" vertical="center" wrapText="1"/>
    </xf>
    <xf numFmtId="4" fontId="128" fillId="48" borderId="1" xfId="1169" applyNumberFormat="1" applyFont="1" applyFill="1" applyBorder="1" applyAlignment="1" applyProtection="1">
      <alignment horizontal="center" vertical="center" wrapText="1"/>
      <protection locked="0"/>
    </xf>
    <xf numFmtId="3" fontId="102" fillId="5" borderId="1" xfId="1450" applyNumberFormat="1" applyFont="1" applyFill="1" applyBorder="1" applyAlignment="1" applyProtection="1">
      <alignment wrapText="1"/>
    </xf>
    <xf numFmtId="4" fontId="128" fillId="5" borderId="1" xfId="1450" applyNumberFormat="1" applyFont="1" applyFill="1" applyBorder="1" applyAlignment="1" applyProtection="1">
      <alignment horizontal="center" vertical="center" wrapText="1"/>
    </xf>
    <xf numFmtId="4" fontId="128" fillId="3" borderId="1" xfId="1169" applyNumberFormat="1" applyFont="1" applyFill="1" applyBorder="1" applyAlignment="1" applyProtection="1">
      <alignment horizontal="center" vertical="center" wrapText="1"/>
    </xf>
    <xf numFmtId="3" fontId="139" fillId="5" borderId="1" xfId="1450" applyNumberFormat="1" applyFont="1" applyFill="1" applyBorder="1" applyAlignment="1" applyProtection="1">
      <alignment horizontal="center" vertical="center"/>
    </xf>
    <xf numFmtId="3" fontId="102" fillId="5" borderId="1" xfId="1450" applyNumberFormat="1" applyFont="1" applyFill="1" applyBorder="1" applyAlignment="1" applyProtection="1">
      <alignment vertical="center" wrapText="1"/>
    </xf>
    <xf numFmtId="4" fontId="128" fillId="5" borderId="1" xfId="1169" applyNumberFormat="1" applyFont="1" applyFill="1" applyBorder="1" applyAlignment="1" applyProtection="1">
      <alignment horizontal="center" vertical="center" wrapText="1"/>
    </xf>
    <xf numFmtId="3" fontId="102" fillId="5" borderId="1" xfId="1450" applyNumberFormat="1" applyFont="1" applyFill="1" applyBorder="1" applyAlignment="1" applyProtection="1">
      <alignment horizontal="left" vertical="center" wrapText="1"/>
    </xf>
    <xf numFmtId="3" fontId="8" fillId="5" borderId="1" xfId="1452" applyNumberFormat="1" applyFont="1" applyFill="1" applyBorder="1" applyAlignment="1" applyProtection="1">
      <alignment wrapText="1"/>
    </xf>
    <xf numFmtId="4" fontId="127" fillId="52" borderId="1" xfId="1169" applyNumberFormat="1" applyFont="1" applyFill="1" applyBorder="1" applyAlignment="1" applyProtection="1">
      <alignment horizontal="center" vertical="center" wrapText="1"/>
      <protection locked="0"/>
    </xf>
    <xf numFmtId="4" fontId="127" fillId="48" borderId="1" xfId="1169" applyNumberFormat="1" applyFont="1" applyFill="1" applyBorder="1" applyAlignment="1" applyProtection="1">
      <alignment horizontal="center" vertical="center" wrapText="1"/>
      <protection locked="0"/>
    </xf>
    <xf numFmtId="4" fontId="127" fillId="56" borderId="1" xfId="1450" applyNumberFormat="1" applyFont="1" applyFill="1" applyBorder="1" applyAlignment="1" applyProtection="1">
      <alignment horizontal="center" vertical="center" wrapText="1"/>
    </xf>
    <xf numFmtId="3" fontId="7" fillId="5" borderId="1" xfId="1450" applyNumberFormat="1" applyFont="1" applyFill="1" applyBorder="1" applyAlignment="1" applyProtection="1">
      <alignment horizontal="center" vertical="center"/>
    </xf>
    <xf numFmtId="3" fontId="0" fillId="5" borderId="1" xfId="1450" applyNumberFormat="1" applyFont="1" applyFill="1" applyBorder="1" applyAlignment="1" applyProtection="1">
      <alignment horizontal="center" vertical="center"/>
    </xf>
    <xf numFmtId="3" fontId="102" fillId="5" borderId="1" xfId="1450" applyNumberFormat="1" applyFont="1" applyFill="1" applyBorder="1" applyAlignment="1" applyProtection="1">
      <alignment horizontal="left" vertical="center" wrapText="1" indent="4"/>
    </xf>
    <xf numFmtId="4" fontId="128" fillId="48" borderId="1" xfId="1169" applyNumberFormat="1" applyFont="1" applyFill="1" applyBorder="1" applyAlignment="1" applyProtection="1">
      <alignment horizontal="center" vertical="center" wrapText="1"/>
    </xf>
    <xf numFmtId="3" fontId="102" fillId="5" borderId="1" xfId="1450" applyNumberFormat="1" applyFont="1" applyFill="1" applyBorder="1" applyAlignment="1" applyProtection="1">
      <alignment horizontal="left" vertical="center" wrapText="1" indent="3"/>
    </xf>
    <xf numFmtId="4" fontId="8" fillId="56" borderId="1" xfId="1450" applyNumberFormat="1" applyFont="1" applyFill="1" applyBorder="1" applyAlignment="1" applyProtection="1">
      <alignment horizontal="center" vertical="center"/>
    </xf>
    <xf numFmtId="4" fontId="128" fillId="52" borderId="1" xfId="1169" applyNumberFormat="1" applyFont="1" applyFill="1" applyBorder="1" applyAlignment="1" applyProtection="1">
      <alignment horizontal="center" vertical="center"/>
      <protection locked="0"/>
    </xf>
    <xf numFmtId="4" fontId="128" fillId="48" borderId="1" xfId="1169" applyNumberFormat="1" applyFont="1" applyFill="1" applyBorder="1" applyAlignment="1" applyProtection="1">
      <alignment horizontal="center" vertical="center"/>
      <protection locked="0"/>
    </xf>
    <xf numFmtId="2" fontId="106" fillId="56" borderId="1" xfId="1450" applyNumberFormat="1" applyFont="1" applyFill="1" applyBorder="1" applyAlignment="1" applyProtection="1">
      <alignment horizontal="center" vertical="center"/>
    </xf>
    <xf numFmtId="0" fontId="106" fillId="56" borderId="1" xfId="1450" applyFont="1" applyFill="1" applyBorder="1" applyAlignment="1" applyProtection="1">
      <alignment horizontal="center" vertical="center" wrapText="1"/>
    </xf>
    <xf numFmtId="0" fontId="106" fillId="56" borderId="1" xfId="1450" applyFont="1" applyFill="1" applyBorder="1" applyAlignment="1" applyProtection="1">
      <alignment horizontal="left" vertical="center" wrapText="1"/>
    </xf>
    <xf numFmtId="4" fontId="127" fillId="52" borderId="1" xfId="1169" applyNumberFormat="1" applyFont="1" applyFill="1" applyBorder="1" applyAlignment="1" applyProtection="1">
      <alignment horizontal="center" vertical="center"/>
      <protection locked="0"/>
    </xf>
    <xf numFmtId="4" fontId="127" fillId="48" borderId="1" xfId="1169" applyNumberFormat="1" applyFont="1" applyFill="1" applyBorder="1" applyAlignment="1" applyProtection="1">
      <alignment horizontal="center" vertical="center"/>
      <protection locked="0"/>
    </xf>
    <xf numFmtId="4" fontId="106" fillId="56" borderId="1" xfId="1450" applyNumberFormat="1" applyFont="1" applyFill="1" applyBorder="1" applyAlignment="1" applyProtection="1">
      <alignment horizontal="center" vertical="center" wrapText="1"/>
    </xf>
    <xf numFmtId="4" fontId="128" fillId="6" borderId="1" xfId="1169" applyNumberFormat="1" applyFont="1" applyFill="1" applyBorder="1" applyAlignment="1" applyProtection="1">
      <alignment horizontal="center" vertical="center" wrapText="1"/>
      <protection locked="0"/>
    </xf>
    <xf numFmtId="3" fontId="8" fillId="5" borderId="1" xfId="1450" applyNumberFormat="1" applyFont="1" applyFill="1" applyBorder="1" applyAlignment="1" applyProtection="1">
      <alignment horizontal="center" vertical="center"/>
    </xf>
    <xf numFmtId="3" fontId="162" fillId="5" borderId="1" xfId="1450" applyNumberFormat="1" applyFont="1" applyFill="1" applyBorder="1" applyAlignment="1" applyProtection="1">
      <alignment wrapText="1"/>
    </xf>
    <xf numFmtId="0" fontId="106" fillId="56" borderId="1" xfId="1450" applyFont="1" applyFill="1" applyBorder="1" applyAlignment="1" applyProtection="1">
      <alignment horizontal="left"/>
    </xf>
    <xf numFmtId="0" fontId="8" fillId="5" borderId="1" xfId="1169" applyFont="1" applyFill="1" applyBorder="1" applyAlignment="1" applyProtection="1">
      <alignment horizontal="left" vertical="center" wrapText="1"/>
    </xf>
    <xf numFmtId="2" fontId="7" fillId="48" borderId="1" xfId="1440" applyNumberFormat="1" applyFont="1" applyFill="1" applyBorder="1" applyAlignment="1" applyProtection="1">
      <alignment horizontal="center" vertical="center" wrapText="1"/>
      <protection locked="0"/>
    </xf>
    <xf numFmtId="0" fontId="7" fillId="5" borderId="1" xfId="1169" applyFont="1" applyFill="1" applyBorder="1" applyAlignment="1" applyProtection="1">
      <alignment horizontal="left" vertical="center" wrapText="1" indent="2"/>
    </xf>
    <xf numFmtId="0" fontId="131" fillId="5" borderId="1" xfId="1169" applyFont="1" applyFill="1" applyBorder="1" applyAlignment="1" applyProtection="1">
      <alignment horizontal="left" vertical="center" wrapText="1" indent="2"/>
    </xf>
    <xf numFmtId="2" fontId="8" fillId="48" borderId="1" xfId="1440" applyNumberFormat="1" applyFont="1" applyFill="1" applyBorder="1" applyAlignment="1" applyProtection="1">
      <alignment horizontal="center" vertical="center" wrapText="1"/>
      <protection locked="0"/>
    </xf>
    <xf numFmtId="4" fontId="8" fillId="52" borderId="1" xfId="1440" applyNumberFormat="1" applyFont="1" applyFill="1" applyBorder="1" applyAlignment="1" applyProtection="1">
      <alignment horizontal="center" vertical="center" wrapText="1"/>
      <protection locked="0"/>
    </xf>
    <xf numFmtId="4" fontId="93" fillId="48" borderId="1" xfId="1440" applyNumberFormat="1" applyFont="1" applyFill="1" applyBorder="1" applyAlignment="1" applyProtection="1">
      <alignment horizontal="center" vertical="center" wrapText="1"/>
      <protection locked="0"/>
    </xf>
    <xf numFmtId="4" fontId="93" fillId="52" borderId="1" xfId="1440" applyNumberFormat="1" applyFont="1" applyFill="1" applyBorder="1" applyAlignment="1" applyProtection="1">
      <alignment horizontal="center" vertical="center" wrapText="1"/>
      <protection locked="0"/>
    </xf>
    <xf numFmtId="4" fontId="117" fillId="52" borderId="1" xfId="1440" applyNumberFormat="1" applyFont="1" applyFill="1" applyBorder="1" applyAlignment="1" applyProtection="1">
      <alignment horizontal="center" vertical="center" wrapText="1"/>
      <protection locked="0"/>
    </xf>
    <xf numFmtId="0" fontId="7" fillId="0" borderId="0" xfId="1440" applyFont="1" applyFill="1" applyBorder="1" applyAlignment="1" applyProtection="1">
      <alignment horizontal="center" vertical="center" wrapText="1"/>
    </xf>
    <xf numFmtId="0" fontId="7" fillId="0" borderId="0" xfId="1440" applyFont="1" applyFill="1" applyBorder="1" applyAlignment="1" applyProtection="1">
      <alignment horizontal="left" vertical="center" wrapText="1"/>
    </xf>
    <xf numFmtId="2" fontId="7" fillId="0" borderId="0" xfId="1440" applyNumberFormat="1" applyFont="1" applyFill="1" applyBorder="1" applyAlignment="1" applyProtection="1">
      <alignment horizontal="center" vertical="center" wrapText="1"/>
    </xf>
    <xf numFmtId="0" fontId="8" fillId="3" borderId="1" xfId="1169" applyFont="1" applyFill="1" applyBorder="1" applyAlignment="1" applyProtection="1">
      <alignment horizontal="left" vertical="distributed"/>
    </xf>
    <xf numFmtId="0" fontId="7" fillId="3" borderId="1" xfId="1169" applyFont="1" applyFill="1" applyBorder="1" applyAlignment="1" applyProtection="1">
      <alignment horizontal="center" vertical="center"/>
    </xf>
    <xf numFmtId="4" fontId="8" fillId="3" borderId="1" xfId="1169" applyNumberFormat="1" applyFont="1" applyFill="1" applyBorder="1" applyAlignment="1" applyProtection="1">
      <alignment horizontal="center" vertical="center"/>
    </xf>
    <xf numFmtId="0" fontId="7" fillId="3" borderId="1" xfId="1169" applyFont="1" applyFill="1" applyBorder="1" applyAlignment="1" applyProtection="1">
      <alignment vertical="center" wrapText="1"/>
    </xf>
    <xf numFmtId="4" fontId="7" fillId="3" borderId="1" xfId="1169" applyNumberFormat="1" applyFont="1" applyFill="1" applyBorder="1" applyAlignment="1" applyProtection="1">
      <alignment horizontal="center" vertical="center"/>
    </xf>
    <xf numFmtId="0" fontId="7" fillId="3" borderId="1" xfId="1169" applyFont="1" applyFill="1" applyBorder="1" applyAlignment="1" applyProtection="1">
      <alignment horizontal="left" indent="1"/>
    </xf>
    <xf numFmtId="0" fontId="108" fillId="3" borderId="1" xfId="1169" applyFont="1" applyFill="1" applyBorder="1" applyAlignment="1" applyProtection="1">
      <alignment horizontal="left" vertical="top"/>
    </xf>
    <xf numFmtId="0" fontId="108" fillId="3" borderId="1" xfId="1169" applyFont="1" applyFill="1" applyBorder="1" applyAlignment="1" applyProtection="1">
      <alignment vertical="center"/>
    </xf>
    <xf numFmtId="4" fontId="108" fillId="3" borderId="1" xfId="1169" applyNumberFormat="1" applyFont="1" applyFill="1" applyBorder="1" applyAlignment="1" applyProtection="1">
      <alignment horizontal="center" vertical="center"/>
    </xf>
    <xf numFmtId="0" fontId="8" fillId="3" borderId="1" xfId="1169" applyFont="1" applyFill="1" applyBorder="1" applyProtection="1"/>
    <xf numFmtId="0" fontId="7" fillId="3" borderId="1" xfId="1169" applyFont="1" applyFill="1" applyBorder="1" applyAlignment="1" applyProtection="1">
      <alignment horizontal="center" vertical="center" wrapText="1"/>
    </xf>
    <xf numFmtId="49" fontId="7" fillId="3" borderId="1" xfId="1169" applyNumberFormat="1" applyFont="1" applyFill="1" applyBorder="1" applyAlignment="1" applyProtection="1">
      <alignment horizontal="center" vertical="center"/>
    </xf>
    <xf numFmtId="49" fontId="92" fillId="5" borderId="1" xfId="1203" applyNumberFormat="1" applyFont="1" applyFill="1" applyBorder="1" applyAlignment="1" applyProtection="1">
      <alignment horizontal="center" vertical="center" wrapText="1"/>
    </xf>
    <xf numFmtId="0" fontId="163" fillId="0" borderId="0" xfId="1169" applyFont="1" applyProtection="1"/>
    <xf numFmtId="0" fontId="98" fillId="0" borderId="0" xfId="1169" applyFont="1" applyProtection="1"/>
    <xf numFmtId="0" fontId="164" fillId="0" borderId="0" xfId="1169" applyFont="1" applyProtection="1"/>
    <xf numFmtId="1" fontId="160" fillId="3" borderId="1" xfId="1169" applyNumberFormat="1" applyFont="1" applyFill="1" applyBorder="1" applyAlignment="1" applyProtection="1">
      <alignment horizontal="center" vertical="center" wrapText="1"/>
    </xf>
    <xf numFmtId="0" fontId="160" fillId="3" borderId="26" xfId="1169" applyNumberFormat="1" applyFont="1" applyFill="1" applyBorder="1" applyAlignment="1" applyProtection="1">
      <alignment vertical="center"/>
    </xf>
    <xf numFmtId="4" fontId="160" fillId="3" borderId="1" xfId="1169" applyNumberFormat="1" applyFont="1" applyFill="1" applyBorder="1" applyAlignment="1" applyProtection="1">
      <alignment horizontal="center" vertical="center" wrapText="1"/>
    </xf>
    <xf numFmtId="0" fontId="160" fillId="0" borderId="0" xfId="1169" applyFont="1" applyProtection="1">
      <protection locked="0"/>
    </xf>
    <xf numFmtId="0" fontId="7" fillId="48" borderId="1" xfId="1169" applyFont="1" applyFill="1" applyBorder="1" applyAlignment="1" applyProtection="1">
      <alignment wrapText="1"/>
      <protection locked="0"/>
    </xf>
    <xf numFmtId="4" fontId="7" fillId="48" borderId="1" xfId="1169" applyNumberFormat="1" applyFont="1" applyFill="1" applyBorder="1" applyAlignment="1" applyProtection="1">
      <alignment horizontal="center"/>
      <protection locked="0"/>
    </xf>
    <xf numFmtId="0" fontId="7" fillId="48" borderId="1" xfId="1169" applyFont="1" applyFill="1" applyBorder="1" applyProtection="1">
      <protection locked="0"/>
    </xf>
    <xf numFmtId="3" fontId="160" fillId="3" borderId="1" xfId="1169" applyNumberFormat="1" applyFont="1" applyFill="1" applyBorder="1" applyAlignment="1" applyProtection="1">
      <alignment horizontal="center" vertical="center" wrapText="1"/>
    </xf>
    <xf numFmtId="3" fontId="160" fillId="3" borderId="26" xfId="1169" applyNumberFormat="1" applyFont="1" applyFill="1" applyBorder="1" applyAlignment="1" applyProtection="1">
      <alignment vertical="center"/>
    </xf>
    <xf numFmtId="0" fontId="7" fillId="52" borderId="1" xfId="1169" applyFont="1" applyFill="1" applyBorder="1" applyProtection="1">
      <protection locked="0"/>
    </xf>
    <xf numFmtId="4" fontId="7" fillId="48" borderId="1" xfId="1169" applyNumberFormat="1" applyFont="1" applyFill="1" applyBorder="1" applyAlignment="1" applyProtection="1">
      <alignment horizontal="right"/>
      <protection locked="0"/>
    </xf>
    <xf numFmtId="0" fontId="98" fillId="3" borderId="29" xfId="1169" applyFont="1" applyFill="1" applyBorder="1" applyAlignment="1" applyProtection="1">
      <alignment horizontal="center" vertical="center" wrapText="1"/>
    </xf>
    <xf numFmtId="4" fontId="98" fillId="3" borderId="1" xfId="1169" applyNumberFormat="1" applyFont="1" applyFill="1" applyBorder="1" applyAlignment="1" applyProtection="1">
      <alignment horizontal="center" vertical="center" wrapText="1"/>
    </xf>
    <xf numFmtId="1" fontId="160" fillId="5" borderId="26" xfId="1203" applyNumberFormat="1" applyFont="1" applyFill="1" applyBorder="1" applyAlignment="1" applyProtection="1">
      <alignment horizontal="center" vertical="center" wrapText="1"/>
    </xf>
    <xf numFmtId="2" fontId="93" fillId="0" borderId="0" xfId="1169" applyNumberFormat="1" applyFont="1" applyFill="1" applyBorder="1" applyAlignment="1" applyProtection="1">
      <alignment horizontal="left" wrapText="1"/>
    </xf>
    <xf numFmtId="0" fontId="8" fillId="0" borderId="0" xfId="1169" applyFont="1" applyFill="1" applyBorder="1" applyAlignment="1" applyProtection="1">
      <alignment horizontal="center" wrapText="1"/>
    </xf>
    <xf numFmtId="1" fontId="160" fillId="0" borderId="0" xfId="1203" applyNumberFormat="1" applyFont="1" applyFill="1" applyAlignment="1" applyProtection="1"/>
    <xf numFmtId="0" fontId="124" fillId="5" borderId="1" xfId="1203" applyFont="1" applyFill="1" applyBorder="1" applyAlignment="1" applyProtection="1">
      <alignment vertical="center" wrapText="1" readingOrder="1"/>
    </xf>
    <xf numFmtId="1" fontId="124" fillId="5" borderId="1" xfId="1203" applyNumberFormat="1" applyFont="1" applyFill="1" applyBorder="1" applyAlignment="1" applyProtection="1">
      <alignment vertical="center" wrapText="1" readingOrder="1"/>
    </xf>
    <xf numFmtId="0" fontId="8" fillId="4" borderId="28" xfId="1203" applyFont="1" applyFill="1" applyBorder="1" applyAlignment="1" applyProtection="1">
      <alignment horizontal="center" vertical="center" wrapText="1"/>
      <protection locked="0"/>
    </xf>
    <xf numFmtId="4" fontId="7" fillId="52" borderId="1" xfId="1169" applyNumberFormat="1" applyFont="1" applyFill="1" applyBorder="1" applyAlignment="1" applyProtection="1">
      <alignment horizontal="right"/>
      <protection locked="0"/>
    </xf>
    <xf numFmtId="2" fontId="5" fillId="5" borderId="1" xfId="1169" applyNumberFormat="1" applyFont="1" applyFill="1" applyBorder="1" applyAlignment="1" applyProtection="1">
      <alignment horizontal="center"/>
    </xf>
    <xf numFmtId="2" fontId="5" fillId="5" borderId="1" xfId="1169" applyNumberFormat="1" applyFont="1" applyFill="1" applyBorder="1" applyAlignment="1" applyProtection="1">
      <alignment horizontal="center" vertical="center" wrapText="1"/>
    </xf>
    <xf numFmtId="2" fontId="8" fillId="0" borderId="0" xfId="1169" applyNumberFormat="1" applyFont="1" applyFill="1" applyAlignment="1" applyProtection="1">
      <alignment horizontal="left"/>
    </xf>
    <xf numFmtId="4" fontId="7" fillId="5" borderId="26" xfId="3" applyNumberFormat="1" applyFont="1" applyFill="1" applyBorder="1" applyAlignment="1" applyProtection="1">
      <alignment vertical="center" wrapText="1"/>
    </xf>
    <xf numFmtId="4" fontId="8" fillId="57" borderId="1" xfId="0" applyNumberFormat="1" applyFont="1" applyFill="1" applyBorder="1" applyAlignment="1" applyProtection="1">
      <alignment horizontal="center"/>
    </xf>
    <xf numFmtId="4" fontId="137" fillId="57" borderId="1" xfId="3" applyNumberFormat="1" applyFont="1" applyFill="1" applyBorder="1" applyAlignment="1" applyProtection="1">
      <alignment horizontal="center" vertical="center" wrapText="1"/>
    </xf>
    <xf numFmtId="4" fontId="128" fillId="57" borderId="1" xfId="3" applyNumberFormat="1" applyFont="1" applyFill="1" applyBorder="1" applyAlignment="1" applyProtection="1">
      <alignment horizontal="center" vertical="center" wrapText="1"/>
    </xf>
    <xf numFmtId="4" fontId="127" fillId="57" borderId="1" xfId="3" applyNumberFormat="1" applyFont="1" applyFill="1" applyBorder="1" applyAlignment="1" applyProtection="1">
      <alignment horizontal="center" vertical="center" wrapText="1"/>
    </xf>
    <xf numFmtId="4" fontId="8" fillId="57" borderId="1" xfId="0" applyNumberFormat="1" applyFont="1" applyFill="1" applyBorder="1" applyAlignment="1" applyProtection="1">
      <alignment horizontal="center"/>
      <protection locked="0"/>
    </xf>
    <xf numFmtId="4" fontId="102" fillId="57" borderId="1" xfId="0" applyNumberFormat="1" applyFont="1" applyFill="1" applyBorder="1" applyAlignment="1" applyProtection="1">
      <alignment horizontal="center"/>
      <protection locked="0"/>
    </xf>
    <xf numFmtId="4" fontId="102" fillId="57" borderId="1" xfId="0" applyNumberFormat="1" applyFont="1" applyFill="1" applyBorder="1" applyAlignment="1" applyProtection="1">
      <alignment horizontal="center"/>
    </xf>
    <xf numFmtId="187" fontId="8" fillId="57" borderId="1" xfId="0" applyNumberFormat="1" applyFont="1" applyFill="1" applyBorder="1" applyAlignment="1" applyProtection="1">
      <alignment horizontal="center"/>
    </xf>
    <xf numFmtId="4" fontId="153" fillId="0" borderId="0" xfId="0" applyNumberFormat="1" applyFont="1" applyAlignment="1" applyProtection="1">
      <alignment horizontal="center"/>
    </xf>
    <xf numFmtId="49" fontId="8" fillId="2" borderId="1" xfId="1203" applyNumberFormat="1" applyFont="1" applyFill="1" applyBorder="1" applyAlignment="1" applyProtection="1">
      <alignment vertical="center" wrapText="1"/>
    </xf>
    <xf numFmtId="0" fontId="157" fillId="0" borderId="0" xfId="0" applyFont="1" applyProtection="1">
      <protection locked="0"/>
    </xf>
    <xf numFmtId="0" fontId="79" fillId="5" borderId="21" xfId="1169" applyFont="1" applyFill="1" applyBorder="1" applyAlignment="1" applyProtection="1">
      <alignment horizontal="center" vertical="center"/>
    </xf>
    <xf numFmtId="0" fontId="6" fillId="5" borderId="21" xfId="1169" applyFont="1" applyFill="1" applyBorder="1" applyAlignment="1" applyProtection="1">
      <alignment horizontal="center" vertical="distributed"/>
    </xf>
    <xf numFmtId="0" fontId="106" fillId="5" borderId="5" xfId="1169" applyFont="1" applyFill="1" applyBorder="1" applyAlignment="1" applyProtection="1">
      <alignment vertical="center" wrapText="1"/>
    </xf>
    <xf numFmtId="0" fontId="7" fillId="5" borderId="5" xfId="1169" applyFont="1" applyFill="1" applyBorder="1" applyAlignment="1" applyProtection="1">
      <alignment vertical="center"/>
    </xf>
    <xf numFmtId="4" fontId="7" fillId="6" borderId="1" xfId="1169" applyNumberFormat="1" applyFont="1" applyFill="1" applyBorder="1" applyAlignment="1" applyProtection="1">
      <alignment horizontal="center" wrapText="1"/>
      <protection locked="0"/>
    </xf>
    <xf numFmtId="4" fontId="157" fillId="0" borderId="1" xfId="0" applyNumberFormat="1" applyFont="1" applyBorder="1" applyProtection="1">
      <protection locked="0"/>
    </xf>
    <xf numFmtId="49" fontId="106" fillId="0" borderId="26" xfId="0" applyNumberFormat="1" applyFont="1" applyBorder="1" applyAlignment="1" applyProtection="1">
      <alignment vertical="center"/>
    </xf>
    <xf numFmtId="0" fontId="7" fillId="5" borderId="1" xfId="1169" applyFont="1" applyFill="1" applyBorder="1" applyAlignment="1" applyProtection="1">
      <alignment horizontal="left" vertical="distributed"/>
    </xf>
    <xf numFmtId="4" fontId="7" fillId="5" borderId="1" xfId="1169" applyNumberFormat="1" applyFont="1" applyFill="1" applyBorder="1" applyAlignment="1" applyProtection="1">
      <alignment horizontal="center" vertical="center"/>
    </xf>
    <xf numFmtId="4" fontId="8" fillId="5" borderId="26" xfId="3" applyNumberFormat="1" applyFont="1" applyFill="1" applyBorder="1" applyAlignment="1" applyProtection="1">
      <alignment vertical="center" wrapText="1"/>
    </xf>
    <xf numFmtId="16" fontId="7" fillId="5" borderId="1" xfId="1169" applyNumberFormat="1" applyFont="1" applyFill="1" applyBorder="1" applyAlignment="1" applyProtection="1">
      <alignment horizontal="center" vertical="center"/>
    </xf>
    <xf numFmtId="1" fontId="92" fillId="0" borderId="27" xfId="1203" applyNumberFormat="1" applyFont="1" applyFill="1" applyBorder="1" applyAlignment="1" applyProtection="1">
      <alignment horizontal="center" vertical="center" wrapText="1"/>
      <protection locked="0"/>
    </xf>
    <xf numFmtId="0" fontId="132" fillId="5" borderId="1" xfId="0" applyFont="1" applyFill="1" applyBorder="1" applyProtection="1"/>
    <xf numFmtId="4" fontId="8" fillId="5" borderId="27" xfId="0" applyNumberFormat="1" applyFont="1" applyFill="1" applyBorder="1" applyAlignment="1" applyProtection="1">
      <alignment horizontal="center" vertical="center"/>
    </xf>
    <xf numFmtId="1" fontId="7" fillId="5" borderId="26" xfId="1203" applyNumberFormat="1" applyFont="1" applyFill="1" applyBorder="1" applyAlignment="1" applyProtection="1">
      <alignment horizontal="left" vertical="center" wrapText="1"/>
    </xf>
    <xf numFmtId="0" fontId="114" fillId="5" borderId="1" xfId="0" applyFont="1" applyFill="1" applyBorder="1" applyProtection="1">
      <protection locked="0"/>
    </xf>
    <xf numFmtId="1" fontId="88" fillId="5" borderId="1" xfId="1203" applyNumberFormat="1" applyFont="1" applyFill="1" applyBorder="1" applyAlignment="1" applyProtection="1">
      <alignment horizontal="center" vertical="center" wrapText="1"/>
      <protection locked="0"/>
    </xf>
    <xf numFmtId="0" fontId="132" fillId="5" borderId="1" xfId="0" applyFont="1" applyFill="1" applyBorder="1" applyProtection="1">
      <protection locked="0"/>
    </xf>
    <xf numFmtId="0" fontId="104" fillId="0" borderId="1" xfId="0" applyFont="1" applyBorder="1" applyAlignment="1" applyProtection="1">
      <alignment vertical="center" wrapText="1"/>
      <protection locked="0"/>
    </xf>
    <xf numFmtId="4" fontId="104" fillId="0" borderId="1" xfId="0" applyNumberFormat="1" applyFont="1" applyBorder="1" applyProtection="1">
      <protection locked="0"/>
    </xf>
    <xf numFmtId="0" fontId="104" fillId="0" borderId="1" xfId="0" applyFont="1" applyBorder="1" applyAlignment="1" applyProtection="1">
      <alignment wrapText="1"/>
      <protection locked="0"/>
    </xf>
    <xf numFmtId="1" fontId="92" fillId="0" borderId="82" xfId="1203" applyNumberFormat="1" applyFont="1" applyFill="1" applyBorder="1" applyAlignment="1" applyProtection="1">
      <alignment vertical="center" wrapText="1"/>
      <protection locked="0"/>
    </xf>
    <xf numFmtId="0" fontId="7" fillId="5" borderId="82" xfId="1203" applyFont="1" applyFill="1" applyBorder="1" applyAlignment="1" applyProtection="1">
      <alignment vertical="center" wrapText="1"/>
    </xf>
    <xf numFmtId="4" fontId="136" fillId="52" borderId="81" xfId="0" applyNumberFormat="1" applyFont="1" applyFill="1" applyBorder="1" applyAlignment="1" applyProtection="1">
      <alignment horizontal="center" vertical="center"/>
    </xf>
    <xf numFmtId="1" fontId="8" fillId="5" borderId="81" xfId="0" applyNumberFormat="1" applyFont="1" applyFill="1" applyBorder="1" applyAlignment="1" applyProtection="1">
      <alignment horizontal="center" vertical="center" wrapText="1"/>
    </xf>
    <xf numFmtId="3" fontId="135" fillId="5" borderId="81" xfId="1450" applyNumberFormat="1" applyFont="1" applyFill="1" applyBorder="1" applyAlignment="1" applyProtection="1">
      <alignment wrapText="1"/>
    </xf>
    <xf numFmtId="0" fontId="8" fillId="56" borderId="81" xfId="1450" applyFont="1" applyFill="1" applyBorder="1" applyAlignment="1" applyProtection="1">
      <alignment horizontal="left" vertical="center" wrapText="1"/>
    </xf>
    <xf numFmtId="3" fontId="0" fillId="5" borderId="81" xfId="1450" applyNumberFormat="1" applyFont="1" applyFill="1" applyBorder="1" applyAlignment="1" applyProtection="1">
      <alignment horizontal="left" wrapText="1" indent="2"/>
    </xf>
    <xf numFmtId="3" fontId="0" fillId="5" borderId="81" xfId="1450" applyNumberFormat="1" applyFont="1" applyFill="1" applyBorder="1" applyAlignment="1" applyProtection="1">
      <alignment horizontal="left" vertical="center" wrapText="1"/>
    </xf>
    <xf numFmtId="3" fontId="7" fillId="5" borderId="81" xfId="1450" applyNumberFormat="1" applyFont="1" applyFill="1" applyBorder="1" applyAlignment="1" applyProtection="1">
      <alignment horizontal="center"/>
    </xf>
    <xf numFmtId="0" fontId="8" fillId="56" borderId="81" xfId="1450" applyFont="1" applyFill="1" applyBorder="1" applyAlignment="1" applyProtection="1">
      <alignment horizontal="center" vertical="center"/>
    </xf>
    <xf numFmtId="0" fontId="148" fillId="0" borderId="0" xfId="1169" applyFont="1" applyAlignment="1" applyProtection="1">
      <alignment vertical="center"/>
    </xf>
    <xf numFmtId="1" fontId="8" fillId="5" borderId="29" xfId="1203" applyNumberFormat="1" applyFont="1" applyFill="1" applyBorder="1" applyAlignment="1" applyProtection="1">
      <alignment vertical="center" wrapText="1"/>
    </xf>
    <xf numFmtId="0" fontId="7" fillId="5" borderId="29" xfId="1203" applyFont="1" applyFill="1" applyBorder="1" applyAlignment="1" applyProtection="1">
      <alignment vertical="center" wrapText="1"/>
    </xf>
    <xf numFmtId="1" fontId="8" fillId="5" borderId="82" xfId="1203" applyNumberFormat="1" applyFont="1" applyFill="1" applyBorder="1" applyAlignment="1" applyProtection="1">
      <alignment vertical="center" wrapText="1"/>
    </xf>
    <xf numFmtId="4" fontId="136" fillId="52" borderId="81" xfId="1450" applyNumberFormat="1" applyFont="1" applyFill="1" applyBorder="1" applyAlignment="1" applyProtection="1">
      <alignment horizontal="center" vertical="center" wrapText="1"/>
    </xf>
    <xf numFmtId="4" fontId="136" fillId="52" borderId="81" xfId="0" applyNumberFormat="1" applyFont="1" applyFill="1" applyBorder="1" applyAlignment="1" applyProtection="1">
      <alignment horizontal="center" vertical="center" wrapText="1"/>
    </xf>
    <xf numFmtId="4" fontId="169" fillId="52" borderId="81" xfId="1450" applyNumberFormat="1" applyFont="1" applyFill="1" applyBorder="1" applyAlignment="1" applyProtection="1">
      <alignment horizontal="center" vertical="center" wrapText="1"/>
    </xf>
    <xf numFmtId="4" fontId="169" fillId="52" borderId="81" xfId="1450" applyNumberFormat="1" applyFont="1" applyFill="1" applyBorder="1" applyAlignment="1" applyProtection="1">
      <alignment horizontal="center" vertical="center"/>
    </xf>
    <xf numFmtId="4" fontId="136" fillId="5" borderId="81" xfId="0" applyNumberFormat="1" applyFont="1" applyFill="1" applyBorder="1" applyAlignment="1" applyProtection="1">
      <alignment horizontal="center" vertical="center"/>
    </xf>
    <xf numFmtId="4" fontId="169" fillId="56" borderId="81" xfId="1450" applyNumberFormat="1" applyFont="1" applyFill="1" applyBorder="1" applyAlignment="1" applyProtection="1">
      <alignment horizontal="center" vertical="center" wrapText="1"/>
    </xf>
    <xf numFmtId="4" fontId="136" fillId="3" borderId="81" xfId="0" applyNumberFormat="1" applyFont="1" applyFill="1" applyBorder="1" applyAlignment="1" applyProtection="1">
      <alignment horizontal="center" vertical="center" wrapText="1"/>
    </xf>
    <xf numFmtId="4" fontId="136" fillId="5" borderId="81" xfId="1450" applyNumberFormat="1" applyFont="1" applyFill="1" applyBorder="1" applyAlignment="1" applyProtection="1">
      <alignment horizontal="center" vertical="center" wrapText="1"/>
    </xf>
    <xf numFmtId="4" fontId="136" fillId="5" borderId="81" xfId="0" applyNumberFormat="1" applyFont="1" applyFill="1" applyBorder="1" applyAlignment="1" applyProtection="1">
      <alignment horizontal="center" vertical="center" wrapText="1"/>
    </xf>
    <xf numFmtId="4" fontId="169" fillId="5" borderId="81" xfId="1450" applyNumberFormat="1" applyFont="1" applyFill="1" applyBorder="1" applyAlignment="1" applyProtection="1">
      <alignment horizontal="center" vertical="center" wrapText="1"/>
    </xf>
    <xf numFmtId="4" fontId="169" fillId="56" borderId="81" xfId="1450" applyNumberFormat="1" applyFont="1" applyFill="1" applyBorder="1" applyAlignment="1" applyProtection="1">
      <alignment horizontal="center" vertical="center"/>
    </xf>
    <xf numFmtId="49" fontId="173" fillId="0" borderId="0" xfId="0" applyNumberFormat="1" applyFont="1" applyFill="1" applyBorder="1" applyAlignment="1" applyProtection="1">
      <alignment horizontal="left"/>
    </xf>
    <xf numFmtId="3" fontId="8" fillId="56" borderId="81" xfId="1450" applyNumberFormat="1" applyFont="1" applyFill="1" applyBorder="1" applyProtection="1"/>
    <xf numFmtId="3" fontId="8" fillId="56" borderId="81" xfId="1450" applyNumberFormat="1" applyFont="1" applyFill="1" applyBorder="1" applyAlignment="1" applyProtection="1">
      <alignment horizontal="center"/>
    </xf>
    <xf numFmtId="3" fontId="7" fillId="5" borderId="81" xfId="1450" applyNumberFormat="1" applyFont="1" applyFill="1" applyBorder="1" applyAlignment="1" applyProtection="1">
      <alignment horizontal="center" wrapText="1"/>
    </xf>
    <xf numFmtId="0" fontId="8" fillId="5" borderId="81" xfId="1450" applyFont="1" applyFill="1" applyBorder="1" applyAlignment="1" applyProtection="1">
      <alignment horizontal="left"/>
    </xf>
    <xf numFmtId="0" fontId="8" fillId="5" borderId="81" xfId="1450" applyFont="1" applyFill="1" applyBorder="1" applyAlignment="1" applyProtection="1">
      <alignment horizontal="center"/>
    </xf>
    <xf numFmtId="0" fontId="8" fillId="56" borderId="81" xfId="1450" applyFont="1" applyFill="1" applyBorder="1" applyAlignment="1" applyProtection="1">
      <alignment horizontal="left"/>
    </xf>
    <xf numFmtId="0" fontId="8" fillId="56" borderId="81" xfId="1450" applyFont="1" applyFill="1" applyBorder="1" applyAlignment="1" applyProtection="1">
      <alignment horizontal="center" vertical="center" wrapText="1"/>
    </xf>
    <xf numFmtId="3" fontId="0" fillId="6" borderId="81" xfId="1450" applyNumberFormat="1" applyFont="1" applyFill="1" applyBorder="1" applyAlignment="1" applyProtection="1">
      <alignment horizontal="center"/>
    </xf>
    <xf numFmtId="3" fontId="0" fillId="6" borderId="81" xfId="1450" applyNumberFormat="1" applyFont="1" applyFill="1" applyBorder="1" applyAlignment="1" applyProtection="1">
      <alignment horizontal="center"/>
      <protection locked="0"/>
    </xf>
    <xf numFmtId="3" fontId="0" fillId="5" borderId="81" xfId="1450" applyNumberFormat="1" applyFont="1" applyFill="1" applyBorder="1" applyAlignment="1" applyProtection="1">
      <alignment horizontal="left" wrapText="1"/>
    </xf>
    <xf numFmtId="3" fontId="0" fillId="52" borderId="81" xfId="1450" applyNumberFormat="1" applyFont="1" applyFill="1" applyBorder="1" applyAlignment="1" applyProtection="1">
      <alignment horizontal="left" wrapText="1"/>
      <protection locked="0"/>
    </xf>
    <xf numFmtId="3" fontId="7" fillId="52" borderId="81" xfId="1450" applyNumberFormat="1" applyFont="1" applyFill="1" applyBorder="1" applyAlignment="1" applyProtection="1">
      <alignment horizontal="left" wrapText="1"/>
      <protection locked="0"/>
    </xf>
    <xf numFmtId="3" fontId="7" fillId="5" borderId="81" xfId="1450" applyNumberFormat="1" applyFont="1" applyFill="1" applyBorder="1" applyAlignment="1" applyProtection="1">
      <alignment horizontal="left" wrapText="1" indent="3"/>
    </xf>
    <xf numFmtId="3" fontId="7" fillId="5" borderId="81" xfId="1450" applyNumberFormat="1" applyFont="1" applyFill="1" applyBorder="1" applyAlignment="1" applyProtection="1">
      <alignment horizontal="left" vertical="center" wrapText="1" indent="5"/>
    </xf>
    <xf numFmtId="3" fontId="0" fillId="5" borderId="81" xfId="1450" applyNumberFormat="1" applyFont="1" applyFill="1" applyBorder="1" applyAlignment="1" applyProtection="1">
      <alignment horizontal="left" vertical="center" wrapText="1" indent="8"/>
    </xf>
    <xf numFmtId="3" fontId="0" fillId="5" borderId="81" xfId="1450" applyNumberFormat="1" applyFont="1" applyFill="1" applyBorder="1" applyAlignment="1" applyProtection="1">
      <alignment horizontal="left" vertical="center" wrapText="1" indent="5"/>
    </xf>
    <xf numFmtId="3" fontId="0" fillId="5" borderId="81" xfId="1450" applyNumberFormat="1" applyFont="1" applyFill="1" applyBorder="1" applyAlignment="1" applyProtection="1">
      <alignment horizontal="center"/>
    </xf>
    <xf numFmtId="3" fontId="7" fillId="5" borderId="81" xfId="1450" applyNumberFormat="1" applyFont="1" applyFill="1" applyBorder="1" applyAlignment="1" applyProtection="1">
      <alignment horizontal="left" vertical="center" wrapText="1" indent="3"/>
    </xf>
    <xf numFmtId="3" fontId="7" fillId="5" borderId="81" xfId="1450" applyNumberFormat="1" applyFont="1" applyFill="1" applyBorder="1" applyAlignment="1" applyProtection="1">
      <alignment horizontal="left" vertical="center" wrapText="1"/>
    </xf>
    <xf numFmtId="3" fontId="0" fillId="5" borderId="81" xfId="1450" applyNumberFormat="1" applyFont="1" applyFill="1" applyBorder="1" applyAlignment="1" applyProtection="1">
      <alignment horizontal="left" vertical="center" wrapText="1" indent="3"/>
    </xf>
    <xf numFmtId="3" fontId="0" fillId="5" borderId="81" xfId="1450" applyNumberFormat="1" applyFont="1" applyFill="1" applyBorder="1" applyAlignment="1" applyProtection="1">
      <alignment horizontal="left" wrapText="1" indent="5"/>
    </xf>
    <xf numFmtId="3" fontId="0" fillId="5" borderId="81" xfId="1450" applyNumberFormat="1" applyFont="1" applyFill="1" applyBorder="1" applyAlignment="1" applyProtection="1">
      <alignment vertical="center" wrapText="1"/>
    </xf>
    <xf numFmtId="3" fontId="0" fillId="5" borderId="81" xfId="1450" applyNumberFormat="1" applyFont="1" applyFill="1" applyBorder="1" applyAlignment="1" applyProtection="1">
      <alignment horizontal="left" wrapText="1" indent="3"/>
    </xf>
    <xf numFmtId="3" fontId="0" fillId="5" borderId="81" xfId="1450" applyNumberFormat="1" applyFont="1" applyFill="1" applyBorder="1" applyAlignment="1" applyProtection="1">
      <alignment wrapText="1"/>
    </xf>
    <xf numFmtId="3" fontId="8" fillId="5" borderId="81" xfId="1450" applyNumberFormat="1" applyFont="1" applyFill="1" applyBorder="1" applyAlignment="1" applyProtection="1">
      <alignment wrapText="1"/>
    </xf>
    <xf numFmtId="3" fontId="8" fillId="5" borderId="81" xfId="1450" applyNumberFormat="1" applyFont="1" applyFill="1" applyBorder="1" applyAlignment="1" applyProtection="1">
      <alignment horizontal="center"/>
    </xf>
    <xf numFmtId="0" fontId="167" fillId="0" borderId="0" xfId="0" applyFont="1" applyFill="1" applyBorder="1" applyAlignment="1" applyProtection="1">
      <alignment horizontal="center"/>
    </xf>
    <xf numFmtId="1" fontId="92" fillId="0" borderId="81" xfId="1203" applyNumberFormat="1" applyFont="1" applyFill="1" applyBorder="1" applyAlignment="1" applyProtection="1">
      <alignment horizontal="center" vertical="center" wrapText="1"/>
      <protection locked="0"/>
    </xf>
    <xf numFmtId="1" fontId="7" fillId="0" borderId="81" xfId="1203" applyNumberFormat="1" applyFont="1" applyFill="1" applyBorder="1" applyAlignment="1" applyProtection="1">
      <alignment horizontal="center" vertical="center" wrapText="1"/>
      <protection locked="0"/>
    </xf>
    <xf numFmtId="0" fontId="1" fillId="0" borderId="0" xfId="1450" applyProtection="1">
      <protection locked="0"/>
    </xf>
    <xf numFmtId="0" fontId="134" fillId="0" borderId="0" xfId="1450" applyFont="1" applyProtection="1">
      <protection locked="0"/>
    </xf>
    <xf numFmtId="0" fontId="134" fillId="0" borderId="0" xfId="1450" applyFont="1" applyAlignment="1" applyProtection="1">
      <protection locked="0"/>
    </xf>
    <xf numFmtId="0" fontId="1" fillId="0" borderId="0" xfId="1450" applyAlignment="1" applyProtection="1">
      <protection locked="0"/>
    </xf>
    <xf numFmtId="4" fontId="8" fillId="5" borderId="1" xfId="1203" applyNumberFormat="1" applyFont="1" applyFill="1" applyBorder="1" applyAlignment="1" applyProtection="1">
      <alignment horizontal="center" vertical="center" wrapText="1"/>
    </xf>
    <xf numFmtId="4" fontId="7" fillId="5" borderId="1" xfId="1203" applyNumberFormat="1" applyFont="1" applyFill="1" applyBorder="1" applyAlignment="1" applyProtection="1">
      <alignment horizontal="center" vertical="center" wrapText="1"/>
    </xf>
    <xf numFmtId="0" fontId="7" fillId="5" borderId="81" xfId="1450" applyFont="1" applyFill="1" applyBorder="1" applyAlignment="1" applyProtection="1">
      <alignment horizontal="left" vertical="center" wrapText="1"/>
    </xf>
    <xf numFmtId="3" fontId="7" fillId="5" borderId="81" xfId="1450" applyNumberFormat="1" applyFont="1" applyFill="1" applyBorder="1" applyAlignment="1" applyProtection="1">
      <alignment horizontal="left" wrapText="1" indent="2"/>
    </xf>
    <xf numFmtId="3" fontId="7" fillId="5" borderId="81" xfId="1450" applyNumberFormat="1" applyFont="1" applyFill="1" applyBorder="1" applyAlignment="1" applyProtection="1">
      <alignment wrapText="1"/>
    </xf>
    <xf numFmtId="0" fontId="6" fillId="0" borderId="1" xfId="1169" applyFont="1" applyBorder="1" applyAlignment="1" applyProtection="1">
      <alignment vertical="center" wrapText="1"/>
    </xf>
    <xf numFmtId="49" fontId="174" fillId="0" borderId="0" xfId="1450" applyNumberFormat="1" applyFont="1" applyFill="1" applyBorder="1" applyProtection="1"/>
    <xf numFmtId="0" fontId="8" fillId="0" borderId="0" xfId="1450" applyFont="1" applyFill="1" applyBorder="1" applyAlignment="1" applyProtection="1">
      <alignment horizontal="right"/>
    </xf>
    <xf numFmtId="0" fontId="106" fillId="0" borderId="0" xfId="1450" applyFont="1" applyFill="1" applyBorder="1" applyAlignment="1" applyProtection="1">
      <alignment horizontal="left" vertical="center"/>
    </xf>
    <xf numFmtId="0" fontId="8" fillId="0" borderId="0" xfId="1450" applyFont="1" applyFill="1" applyBorder="1" applyAlignment="1" applyProtection="1">
      <alignment vertical="center"/>
    </xf>
    <xf numFmtId="0" fontId="134" fillId="0" borderId="0" xfId="1450" applyFont="1" applyAlignment="1" applyProtection="1"/>
    <xf numFmtId="0" fontId="172" fillId="0" borderId="0" xfId="1450" applyFont="1" applyProtection="1"/>
    <xf numFmtId="0" fontId="134" fillId="0" borderId="0" xfId="1450" applyFont="1" applyProtection="1"/>
    <xf numFmtId="0" fontId="8" fillId="56" borderId="81" xfId="1450" applyFont="1" applyFill="1" applyBorder="1" applyAlignment="1" applyProtection="1">
      <alignment horizontal="center"/>
    </xf>
    <xf numFmtId="49" fontId="7" fillId="5" borderId="81" xfId="3" applyNumberFormat="1" applyFont="1" applyFill="1" applyBorder="1" applyAlignment="1" applyProtection="1">
      <alignment horizontal="center" vertical="center" wrapText="1"/>
    </xf>
    <xf numFmtId="1" fontId="7" fillId="5" borderId="81" xfId="1203" applyNumberFormat="1" applyFont="1" applyFill="1" applyBorder="1" applyAlignment="1" applyProtection="1">
      <alignment horizontal="center" vertical="center" wrapText="1"/>
    </xf>
    <xf numFmtId="4" fontId="7" fillId="5" borderId="81" xfId="3" applyNumberFormat="1" applyFont="1" applyFill="1" applyBorder="1" applyAlignment="1" applyProtection="1">
      <alignment horizontal="center" vertical="center" wrapText="1"/>
    </xf>
    <xf numFmtId="0" fontId="114" fillId="0" borderId="0" xfId="0" applyFont="1" applyAlignment="1" applyProtection="1">
      <alignment horizontal="center"/>
      <protection locked="0"/>
    </xf>
    <xf numFmtId="3" fontId="95" fillId="0" borderId="0" xfId="0" applyNumberFormat="1" applyFont="1" applyProtection="1"/>
    <xf numFmtId="0" fontId="5" fillId="0" borderId="0" xfId="0" applyFont="1" applyFill="1" applyBorder="1" applyAlignment="1" applyProtection="1"/>
    <xf numFmtId="0" fontId="5" fillId="0" borderId="0" xfId="0" applyFont="1" applyFill="1" applyBorder="1" applyAlignment="1" applyProtection="1">
      <alignment vertical="center"/>
    </xf>
    <xf numFmtId="0" fontId="102" fillId="5" borderId="5" xfId="0" applyFont="1" applyFill="1" applyBorder="1" applyAlignment="1" applyProtection="1">
      <alignment vertical="center"/>
    </xf>
    <xf numFmtId="0" fontId="102" fillId="5" borderId="27" xfId="0" applyFont="1" applyFill="1" applyBorder="1" applyAlignment="1" applyProtection="1">
      <alignment vertical="center"/>
    </xf>
    <xf numFmtId="0" fontId="102" fillId="5" borderId="81" xfId="0" applyFont="1" applyFill="1" applyBorder="1" applyAlignment="1" applyProtection="1">
      <alignment vertical="center"/>
    </xf>
    <xf numFmtId="0" fontId="104" fillId="0" borderId="29" xfId="0" applyFont="1" applyBorder="1" applyAlignment="1" applyProtection="1">
      <alignment vertical="center" wrapText="1"/>
      <protection locked="0"/>
    </xf>
    <xf numFmtId="1" fontId="116" fillId="5" borderId="81" xfId="0" applyNumberFormat="1" applyFont="1" applyFill="1" applyBorder="1" applyAlignment="1" applyProtection="1">
      <alignment horizontal="center" vertical="center"/>
    </xf>
    <xf numFmtId="0" fontId="102" fillId="5" borderId="81" xfId="0" applyFont="1" applyFill="1" applyBorder="1" applyAlignment="1" applyProtection="1">
      <alignment vertical="center" wrapText="1"/>
    </xf>
    <xf numFmtId="0" fontId="104" fillId="0" borderId="81" xfId="0" applyFont="1" applyBorder="1" applyAlignment="1" applyProtection="1">
      <alignment vertical="center" wrapText="1"/>
      <protection locked="0"/>
    </xf>
    <xf numFmtId="1" fontId="142" fillId="5" borderId="81" xfId="0" applyNumberFormat="1" applyFont="1" applyFill="1" applyBorder="1" applyAlignment="1" applyProtection="1">
      <alignment horizontal="center" vertical="center"/>
    </xf>
    <xf numFmtId="0" fontId="7" fillId="5" borderId="81" xfId="0" applyFont="1" applyFill="1" applyBorder="1" applyAlignment="1" applyProtection="1">
      <alignment vertical="center" wrapText="1"/>
    </xf>
    <xf numFmtId="0" fontId="7" fillId="5" borderId="81" xfId="0" applyFont="1" applyFill="1" applyBorder="1" applyAlignment="1" applyProtection="1">
      <alignment horizontal="center" vertical="center"/>
    </xf>
    <xf numFmtId="0" fontId="142" fillId="5" borderId="1" xfId="0" applyFont="1" applyFill="1" applyBorder="1" applyAlignment="1" applyProtection="1">
      <alignment horizontal="center" vertical="center"/>
    </xf>
    <xf numFmtId="4" fontId="7" fillId="5" borderId="81" xfId="1204" applyNumberFormat="1" applyFont="1" applyFill="1" applyBorder="1" applyAlignment="1" applyProtection="1">
      <alignment horizontal="center" vertical="center"/>
    </xf>
    <xf numFmtId="0" fontId="114" fillId="0" borderId="0" xfId="0" applyFont="1" applyAlignment="1" applyProtection="1">
      <alignment horizontal="center"/>
    </xf>
    <xf numFmtId="49" fontId="95" fillId="0" borderId="0" xfId="0" applyNumberFormat="1" applyFont="1" applyAlignment="1" applyProtection="1">
      <alignment horizontal="center"/>
    </xf>
    <xf numFmtId="0" fontId="5" fillId="0" borderId="0" xfId="0" applyFont="1" applyFill="1" applyBorder="1" applyAlignment="1" applyProtection="1">
      <alignment horizontal="center" vertical="center"/>
    </xf>
    <xf numFmtId="0" fontId="106" fillId="5" borderId="5" xfId="0" applyFont="1" applyFill="1" applyBorder="1" applyAlignment="1" applyProtection="1">
      <alignment vertical="center"/>
    </xf>
    <xf numFmtId="0" fontId="106" fillId="5" borderId="27" xfId="0" applyFont="1" applyFill="1" applyBorder="1" applyAlignment="1" applyProtection="1">
      <alignment vertical="center"/>
    </xf>
    <xf numFmtId="0" fontId="102" fillId="5" borderId="26" xfId="0" applyFont="1" applyFill="1" applyBorder="1" applyAlignment="1" applyProtection="1">
      <alignment vertical="center"/>
    </xf>
    <xf numFmtId="0" fontId="102" fillId="5" borderId="26" xfId="0" applyFont="1" applyFill="1" applyBorder="1" applyAlignment="1" applyProtection="1">
      <alignment horizontal="center" vertical="center"/>
    </xf>
    <xf numFmtId="49" fontId="132" fillId="0" borderId="0" xfId="0" applyNumberFormat="1" applyFont="1" applyAlignment="1" applyProtection="1">
      <alignment horizontal="center"/>
    </xf>
    <xf numFmtId="2" fontId="95" fillId="0" borderId="0" xfId="0" applyNumberFormat="1" applyFont="1" applyProtection="1"/>
    <xf numFmtId="0" fontId="106" fillId="5" borderId="81" xfId="0" applyFont="1" applyFill="1" applyBorder="1" applyAlignment="1" applyProtection="1">
      <alignment vertical="center"/>
    </xf>
    <xf numFmtId="4" fontId="102" fillId="5" borderId="81" xfId="0" applyNumberFormat="1" applyFont="1" applyFill="1" applyBorder="1" applyAlignment="1" applyProtection="1">
      <alignment horizontal="center" vertical="center"/>
    </xf>
    <xf numFmtId="0" fontId="115" fillId="52" borderId="0" xfId="0" applyFont="1" applyFill="1" applyAlignment="1" applyProtection="1">
      <alignment horizontal="left" vertical="center"/>
    </xf>
    <xf numFmtId="0" fontId="5" fillId="52" borderId="0" xfId="0" applyFont="1" applyFill="1" applyAlignment="1" applyProtection="1">
      <alignment horizontal="left"/>
    </xf>
    <xf numFmtId="0" fontId="139" fillId="0" borderId="0" xfId="0" applyFont="1" applyAlignment="1" applyProtection="1">
      <alignment horizontal="left" vertical="center"/>
    </xf>
    <xf numFmtId="0" fontId="5" fillId="0" borderId="0" xfId="0" applyFont="1" applyAlignment="1" applyProtection="1">
      <alignment horizontal="left" vertical="center"/>
    </xf>
    <xf numFmtId="0" fontId="0" fillId="0" borderId="0" xfId="0" applyAlignment="1" applyProtection="1">
      <alignment horizontal="left"/>
    </xf>
    <xf numFmtId="0" fontId="115" fillId="0" borderId="0" xfId="0" applyFont="1" applyAlignment="1" applyProtection="1">
      <alignment horizontal="left" vertical="center"/>
    </xf>
    <xf numFmtId="0" fontId="5" fillId="0" borderId="0" xfId="0" applyFont="1" applyAlignment="1" applyProtection="1">
      <alignment horizontal="left"/>
    </xf>
    <xf numFmtId="0" fontId="0" fillId="0" borderId="0" xfId="0" applyAlignment="1" applyProtection="1">
      <alignment horizontal="left"/>
      <protection locked="0"/>
    </xf>
    <xf numFmtId="0" fontId="5" fillId="52" borderId="38" xfId="0" applyFont="1" applyFill="1" applyBorder="1" applyAlignment="1" applyProtection="1">
      <alignment horizontal="left" vertical="center"/>
    </xf>
    <xf numFmtId="0" fontId="5" fillId="52" borderId="38" xfId="0" applyFont="1" applyFill="1" applyBorder="1" applyAlignment="1" applyProtection="1">
      <alignment horizontal="left"/>
    </xf>
    <xf numFmtId="0" fontId="5" fillId="0" borderId="38" xfId="0" applyFont="1" applyBorder="1" applyAlignment="1" applyProtection="1">
      <alignment horizontal="left" vertical="center"/>
    </xf>
    <xf numFmtId="0" fontId="5" fillId="0" borderId="38" xfId="0" applyFont="1" applyBorder="1" applyAlignment="1" applyProtection="1">
      <alignment horizontal="left"/>
    </xf>
    <xf numFmtId="0" fontId="115" fillId="52" borderId="34" xfId="0" applyFont="1" applyFill="1" applyBorder="1" applyAlignment="1" applyProtection="1">
      <alignment horizontal="left" vertical="center"/>
    </xf>
    <xf numFmtId="0" fontId="115" fillId="52" borderId="36" xfId="0" applyFont="1" applyFill="1" applyBorder="1" applyAlignment="1" applyProtection="1">
      <alignment horizontal="left" vertical="center"/>
    </xf>
    <xf numFmtId="2" fontId="116" fillId="52" borderId="34" xfId="0" applyNumberFormat="1" applyFont="1" applyFill="1" applyBorder="1" applyAlignment="1" applyProtection="1">
      <alignment horizontal="left" vertical="center"/>
    </xf>
    <xf numFmtId="2" fontId="116" fillId="52" borderId="35" xfId="0" applyNumberFormat="1" applyFont="1" applyFill="1" applyBorder="1" applyAlignment="1" applyProtection="1">
      <alignment horizontal="left" vertical="center"/>
    </xf>
    <xf numFmtId="2" fontId="116" fillId="52" borderId="36" xfId="0" applyNumberFormat="1" applyFont="1" applyFill="1" applyBorder="1" applyAlignment="1" applyProtection="1">
      <alignment horizontal="left" vertical="center"/>
    </xf>
    <xf numFmtId="0" fontId="115" fillId="0" borderId="34" xfId="0" applyFont="1" applyBorder="1" applyAlignment="1" applyProtection="1">
      <alignment horizontal="left" vertical="center"/>
    </xf>
    <xf numFmtId="0" fontId="115" fillId="0" borderId="36" xfId="0" applyFont="1" applyBorder="1" applyAlignment="1" applyProtection="1">
      <alignment horizontal="left" vertical="center"/>
    </xf>
    <xf numFmtId="2" fontId="116" fillId="0" borderId="34" xfId="0" applyNumberFormat="1" applyFont="1" applyBorder="1" applyAlignment="1" applyProtection="1">
      <alignment horizontal="left" vertical="center"/>
    </xf>
    <xf numFmtId="2" fontId="116" fillId="0" borderId="35" xfId="0" applyNumberFormat="1" applyFont="1" applyBorder="1" applyAlignment="1" applyProtection="1">
      <alignment horizontal="left" vertical="center"/>
    </xf>
    <xf numFmtId="2" fontId="116" fillId="0" borderId="36" xfId="0" applyNumberFormat="1" applyFont="1" applyBorder="1" applyAlignment="1" applyProtection="1">
      <alignment horizontal="left" vertical="center"/>
    </xf>
    <xf numFmtId="2" fontId="109" fillId="52" borderId="34" xfId="0" applyNumberFormat="1" applyFont="1" applyFill="1" applyBorder="1" applyAlignment="1" applyProtection="1">
      <alignment horizontal="left" vertical="center"/>
    </xf>
    <xf numFmtId="2" fontId="109" fillId="52" borderId="35" xfId="0" applyNumberFormat="1" applyFont="1" applyFill="1" applyBorder="1" applyAlignment="1" applyProtection="1">
      <alignment horizontal="left" vertical="center"/>
    </xf>
    <xf numFmtId="2" fontId="109" fillId="52" borderId="36" xfId="0" applyNumberFormat="1" applyFont="1" applyFill="1" applyBorder="1" applyAlignment="1" applyProtection="1">
      <alignment horizontal="left" vertical="center"/>
    </xf>
    <xf numFmtId="2" fontId="109" fillId="0" borderId="34" xfId="0" applyNumberFormat="1" applyFont="1" applyBorder="1" applyAlignment="1" applyProtection="1">
      <alignment horizontal="left" vertical="center"/>
    </xf>
    <xf numFmtId="2" fontId="109" fillId="0" borderId="35" xfId="0" applyNumberFormat="1" applyFont="1" applyBorder="1" applyAlignment="1" applyProtection="1">
      <alignment horizontal="left" vertical="center"/>
    </xf>
    <xf numFmtId="2" fontId="109" fillId="0" borderId="36" xfId="0" applyNumberFormat="1" applyFont="1" applyBorder="1" applyAlignment="1" applyProtection="1">
      <alignment horizontal="left" vertical="center"/>
    </xf>
    <xf numFmtId="14" fontId="0" fillId="0" borderId="0" xfId="0" applyNumberFormat="1" applyAlignment="1" applyProtection="1">
      <alignment horizontal="left"/>
      <protection locked="0"/>
    </xf>
    <xf numFmtId="0" fontId="116" fillId="52" borderId="34" xfId="0" applyFont="1" applyFill="1" applyBorder="1" applyAlignment="1" applyProtection="1">
      <alignment horizontal="left" vertical="center"/>
    </xf>
    <xf numFmtId="0" fontId="116" fillId="52" borderId="35" xfId="0" applyFont="1" applyFill="1" applyBorder="1" applyAlignment="1" applyProtection="1">
      <alignment horizontal="left" vertical="center"/>
    </xf>
    <xf numFmtId="0" fontId="116" fillId="52" borderId="36" xfId="0" applyFont="1" applyFill="1" applyBorder="1" applyAlignment="1" applyProtection="1">
      <alignment horizontal="left" vertical="center"/>
    </xf>
    <xf numFmtId="0" fontId="116" fillId="0" borderId="34" xfId="0" applyFont="1" applyBorder="1" applyAlignment="1" applyProtection="1">
      <alignment horizontal="left" vertical="center"/>
    </xf>
    <xf numFmtId="0" fontId="116" fillId="0" borderId="35" xfId="0" applyFont="1" applyBorder="1" applyAlignment="1" applyProtection="1">
      <alignment horizontal="left" vertical="center"/>
    </xf>
    <xf numFmtId="0" fontId="116" fillId="0" borderId="36" xfId="0" applyFont="1" applyBorder="1" applyAlignment="1" applyProtection="1">
      <alignment horizontal="left" vertical="center"/>
    </xf>
    <xf numFmtId="197" fontId="0" fillId="0" borderId="0" xfId="0" applyNumberFormat="1" applyAlignment="1" applyProtection="1">
      <alignment horizontal="left"/>
      <protection locked="0"/>
    </xf>
    <xf numFmtId="0" fontId="13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14" fontId="116" fillId="52" borderId="35" xfId="0" applyNumberFormat="1" applyFont="1" applyFill="1" applyBorder="1" applyAlignment="1" applyProtection="1">
      <alignment horizontal="left" vertical="center"/>
      <protection locked="0"/>
    </xf>
    <xf numFmtId="14" fontId="116" fillId="52" borderId="35" xfId="0" applyNumberFormat="1" applyFont="1" applyFill="1" applyBorder="1" applyAlignment="1" applyProtection="1">
      <alignment horizontal="left" vertical="center"/>
    </xf>
    <xf numFmtId="0" fontId="139" fillId="0" borderId="0" xfId="0" applyFont="1" applyAlignment="1" applyProtection="1">
      <alignment horizontal="left" vertical="center"/>
      <protection locked="0"/>
    </xf>
    <xf numFmtId="14" fontId="116" fillId="0" borderId="35" xfId="0" applyNumberFormat="1" applyFont="1" applyBorder="1" applyAlignment="1" applyProtection="1">
      <alignment horizontal="left" vertical="center"/>
    </xf>
    <xf numFmtId="0" fontId="5" fillId="52" borderId="40" xfId="0" applyFont="1" applyFill="1" applyBorder="1" applyAlignment="1" applyProtection="1">
      <alignment horizontal="left"/>
    </xf>
    <xf numFmtId="0" fontId="5" fillId="0" borderId="40" xfId="0" applyFont="1" applyBorder="1" applyAlignment="1" applyProtection="1">
      <alignment horizontal="left"/>
    </xf>
    <xf numFmtId="14" fontId="0" fillId="5" borderId="0" xfId="0" applyNumberFormat="1" applyFill="1" applyAlignment="1" applyProtection="1">
      <alignment horizontal="left"/>
      <protection locked="0"/>
    </xf>
    <xf numFmtId="198" fontId="7" fillId="5" borderId="81" xfId="1204" applyNumberFormat="1" applyFont="1" applyFill="1" applyBorder="1" applyAlignment="1" applyProtection="1">
      <alignment horizontal="left" vertical="center"/>
      <protection locked="0"/>
    </xf>
    <xf numFmtId="0" fontId="116" fillId="52" borderId="31" xfId="0" applyFont="1" applyFill="1" applyBorder="1" applyAlignment="1" applyProtection="1">
      <alignment horizontal="left" vertical="center"/>
    </xf>
    <xf numFmtId="0" fontId="116" fillId="52" borderId="39" xfId="0" applyFont="1" applyFill="1" applyBorder="1" applyAlignment="1" applyProtection="1">
      <alignment horizontal="left" vertical="center"/>
    </xf>
    <xf numFmtId="0" fontId="116" fillId="52" borderId="40" xfId="0" applyFont="1" applyFill="1" applyBorder="1" applyAlignment="1" applyProtection="1">
      <alignment horizontal="left" vertical="center"/>
    </xf>
    <xf numFmtId="0" fontId="116" fillId="52" borderId="51" xfId="0" applyFont="1" applyFill="1" applyBorder="1" applyAlignment="1" applyProtection="1">
      <alignment horizontal="left" vertical="center"/>
    </xf>
    <xf numFmtId="0" fontId="116" fillId="0" borderId="31" xfId="0" applyFont="1" applyBorder="1" applyAlignment="1" applyProtection="1">
      <alignment horizontal="left" vertical="center"/>
    </xf>
    <xf numFmtId="0" fontId="116" fillId="0" borderId="39" xfId="0" applyFont="1" applyBorder="1" applyAlignment="1" applyProtection="1">
      <alignment horizontal="left" vertical="center"/>
    </xf>
    <xf numFmtId="0" fontId="116" fillId="0" borderId="40" xfId="0" applyFont="1" applyBorder="1" applyAlignment="1" applyProtection="1">
      <alignment horizontal="left" vertical="center"/>
    </xf>
    <xf numFmtId="0" fontId="116" fillId="0" borderId="51" xfId="0" applyFont="1" applyBorder="1" applyAlignment="1" applyProtection="1">
      <alignment horizontal="left" vertical="center"/>
    </xf>
    <xf numFmtId="0" fontId="116" fillId="52" borderId="33" xfId="0" applyFont="1" applyFill="1" applyBorder="1" applyAlignment="1" applyProtection="1">
      <alignment horizontal="left" vertical="center"/>
    </xf>
    <xf numFmtId="0" fontId="116" fillId="52" borderId="62" xfId="0" applyFont="1" applyFill="1" applyBorder="1" applyAlignment="1" applyProtection="1">
      <alignment horizontal="left" vertical="center"/>
    </xf>
    <xf numFmtId="0" fontId="116" fillId="52" borderId="63" xfId="0" applyFont="1" applyFill="1" applyBorder="1" applyAlignment="1" applyProtection="1">
      <alignment horizontal="left" vertical="center"/>
    </xf>
    <xf numFmtId="0" fontId="116" fillId="52" borderId="70" xfId="0" applyFont="1" applyFill="1" applyBorder="1" applyAlignment="1" applyProtection="1">
      <alignment horizontal="left" vertical="center"/>
    </xf>
    <xf numFmtId="0" fontId="116" fillId="52" borderId="64" xfId="0" applyFont="1" applyFill="1" applyBorder="1" applyAlignment="1" applyProtection="1">
      <alignment horizontal="left" vertical="center"/>
    </xf>
    <xf numFmtId="0" fontId="116" fillId="0" borderId="33" xfId="0" applyFont="1" applyBorder="1" applyAlignment="1" applyProtection="1">
      <alignment horizontal="left" vertical="center"/>
    </xf>
    <xf numFmtId="0" fontId="116" fillId="0" borderId="62" xfId="0" applyFont="1" applyBorder="1" applyAlignment="1" applyProtection="1">
      <alignment horizontal="left" vertical="center"/>
    </xf>
    <xf numFmtId="0" fontId="116" fillId="0" borderId="63" xfId="0" applyFont="1" applyBorder="1" applyAlignment="1" applyProtection="1">
      <alignment horizontal="left" vertical="center"/>
    </xf>
    <xf numFmtId="0" fontId="116" fillId="0" borderId="70" xfId="0" applyFont="1" applyBorder="1" applyAlignment="1" applyProtection="1">
      <alignment horizontal="left" vertical="center"/>
    </xf>
    <xf numFmtId="0" fontId="116" fillId="0" borderId="64" xfId="0" applyFont="1" applyBorder="1" applyAlignment="1" applyProtection="1">
      <alignment horizontal="left" vertical="center"/>
    </xf>
    <xf numFmtId="0" fontId="102" fillId="52" borderId="66" xfId="0" applyFont="1" applyFill="1" applyBorder="1" applyAlignment="1" applyProtection="1">
      <alignment horizontal="left" vertical="center"/>
    </xf>
    <xf numFmtId="0" fontId="102" fillId="52" borderId="67" xfId="0" applyFont="1" applyFill="1" applyBorder="1" applyAlignment="1" applyProtection="1">
      <alignment horizontal="left" vertical="center"/>
    </xf>
    <xf numFmtId="0" fontId="102" fillId="52" borderId="71" xfId="0" applyFont="1" applyFill="1" applyBorder="1" applyAlignment="1" applyProtection="1">
      <alignment horizontal="left" vertical="center"/>
    </xf>
    <xf numFmtId="4" fontId="0" fillId="52" borderId="60" xfId="0" applyNumberFormat="1" applyFont="1" applyFill="1" applyBorder="1" applyAlignment="1" applyProtection="1">
      <alignment horizontal="left" vertical="center"/>
    </xf>
    <xf numFmtId="0" fontId="102" fillId="0" borderId="66" xfId="0" applyFont="1" applyBorder="1" applyAlignment="1" applyProtection="1">
      <alignment horizontal="left" vertical="center"/>
    </xf>
    <xf numFmtId="0" fontId="102" fillId="0" borderId="67" xfId="0" applyFont="1" applyBorder="1" applyAlignment="1" applyProtection="1">
      <alignment horizontal="left" vertical="center"/>
    </xf>
    <xf numFmtId="0" fontId="102" fillId="0" borderId="71" xfId="0" applyFont="1" applyBorder="1" applyAlignment="1" applyProtection="1">
      <alignment horizontal="left" vertical="center"/>
    </xf>
    <xf numFmtId="4" fontId="0" fillId="0" borderId="60" xfId="0" applyNumberFormat="1" applyFont="1" applyBorder="1" applyAlignment="1" applyProtection="1">
      <alignment horizontal="left" vertical="center"/>
    </xf>
    <xf numFmtId="0" fontId="102" fillId="52" borderId="34" xfId="0" applyFont="1" applyFill="1" applyBorder="1" applyAlignment="1" applyProtection="1">
      <alignment horizontal="left" vertical="center"/>
    </xf>
    <xf numFmtId="0" fontId="102" fillId="52" borderId="35" xfId="0" applyFont="1" applyFill="1" applyBorder="1" applyAlignment="1" applyProtection="1">
      <alignment horizontal="left" vertical="center"/>
    </xf>
    <xf numFmtId="0" fontId="102" fillId="52" borderId="36" xfId="0" applyFont="1" applyFill="1" applyBorder="1" applyAlignment="1" applyProtection="1">
      <alignment horizontal="left" vertical="center"/>
    </xf>
    <xf numFmtId="4" fontId="0" fillId="52" borderId="30" xfId="1204" applyNumberFormat="1" applyFont="1" applyFill="1" applyBorder="1" applyAlignment="1" applyProtection="1">
      <alignment horizontal="left" vertical="center"/>
      <protection locked="0"/>
    </xf>
    <xf numFmtId="0" fontId="102" fillId="0" borderId="34" xfId="0" applyFont="1" applyBorder="1" applyAlignment="1" applyProtection="1">
      <alignment horizontal="left" vertical="center"/>
    </xf>
    <xf numFmtId="0" fontId="102" fillId="0" borderId="35" xfId="0" applyFont="1" applyBorder="1" applyAlignment="1" applyProtection="1">
      <alignment horizontal="left" vertical="center"/>
    </xf>
    <xf numFmtId="0" fontId="102" fillId="0" borderId="36" xfId="0" applyFont="1" applyBorder="1" applyAlignment="1" applyProtection="1">
      <alignment horizontal="left" vertical="center"/>
    </xf>
    <xf numFmtId="0" fontId="115" fillId="52" borderId="33" xfId="0" applyFont="1" applyFill="1" applyBorder="1" applyAlignment="1" applyProtection="1">
      <alignment horizontal="left" vertical="center"/>
    </xf>
    <xf numFmtId="4" fontId="116" fillId="52" borderId="68" xfId="0" applyNumberFormat="1" applyFont="1" applyFill="1" applyBorder="1" applyAlignment="1" applyProtection="1">
      <alignment horizontal="left" vertical="center"/>
    </xf>
    <xf numFmtId="0" fontId="115" fillId="0" borderId="33" xfId="0" applyFont="1" applyBorder="1" applyAlignment="1" applyProtection="1">
      <alignment horizontal="left" vertical="center"/>
    </xf>
    <xf numFmtId="4" fontId="116" fillId="0" borderId="68" xfId="0" applyNumberFormat="1" applyFont="1" applyBorder="1" applyAlignment="1" applyProtection="1">
      <alignment horizontal="left" vertical="center"/>
    </xf>
    <xf numFmtId="0" fontId="5" fillId="52" borderId="0" xfId="0" applyFont="1" applyFill="1" applyAlignment="1" applyProtection="1">
      <alignment horizontal="left" vertical="center"/>
    </xf>
    <xf numFmtId="0" fontId="5" fillId="52" borderId="40" xfId="0" applyFont="1" applyFill="1" applyBorder="1" applyAlignment="1" applyProtection="1">
      <alignment horizontal="left" vertical="center"/>
    </xf>
    <xf numFmtId="0" fontId="5" fillId="0" borderId="40" xfId="0" applyFont="1" applyBorder="1" applyAlignment="1" applyProtection="1">
      <alignment horizontal="left" vertical="center"/>
    </xf>
    <xf numFmtId="0" fontId="116" fillId="52" borderId="65" xfId="0" applyFont="1" applyFill="1" applyBorder="1" applyAlignment="1" applyProtection="1">
      <alignment horizontal="left" vertical="center"/>
    </xf>
    <xf numFmtId="0" fontId="116" fillId="0" borderId="65" xfId="0" applyFont="1" applyBorder="1" applyAlignment="1" applyProtection="1">
      <alignment horizontal="left" vertical="center"/>
    </xf>
    <xf numFmtId="0" fontId="116" fillId="54" borderId="33" xfId="0" applyFont="1" applyFill="1" applyBorder="1" applyAlignment="1" applyProtection="1">
      <alignment horizontal="left" vertical="center"/>
    </xf>
    <xf numFmtId="4" fontId="0" fillId="52" borderId="69" xfId="0" applyNumberFormat="1" applyFont="1" applyFill="1" applyBorder="1" applyAlignment="1" applyProtection="1">
      <alignment horizontal="left" vertical="center"/>
    </xf>
    <xf numFmtId="4" fontId="0" fillId="0" borderId="69" xfId="0" applyNumberFormat="1" applyFont="1" applyBorder="1" applyAlignment="1" applyProtection="1">
      <alignment horizontal="left" vertical="center"/>
    </xf>
    <xf numFmtId="0" fontId="115" fillId="52" borderId="40" xfId="0" applyFont="1" applyFill="1" applyBorder="1" applyAlignment="1" applyProtection="1">
      <alignment horizontal="left" vertical="center"/>
    </xf>
    <xf numFmtId="0" fontId="115" fillId="0" borderId="40" xfId="0" applyFont="1" applyBorder="1" applyAlignment="1" applyProtection="1">
      <alignment horizontal="left" vertical="center"/>
    </xf>
    <xf numFmtId="0" fontId="5" fillId="52" borderId="0" xfId="0" applyFont="1" applyFill="1" applyBorder="1" applyAlignment="1" applyProtection="1">
      <alignment horizontal="left"/>
    </xf>
    <xf numFmtId="0" fontId="5" fillId="52" borderId="0" xfId="0" applyFont="1" applyFill="1" applyBorder="1" applyAlignment="1" applyProtection="1">
      <alignment horizontal="left" vertical="center"/>
    </xf>
    <xf numFmtId="0" fontId="5" fillId="0" borderId="0" xfId="0" applyFont="1" applyBorder="1" applyAlignment="1" applyProtection="1">
      <alignment horizontal="left"/>
    </xf>
    <xf numFmtId="0" fontId="5" fillId="0" borderId="0" xfId="0" applyFont="1" applyBorder="1" applyAlignment="1" applyProtection="1">
      <alignment horizontal="left" vertical="center"/>
    </xf>
    <xf numFmtId="0" fontId="116" fillId="52" borderId="82" xfId="0" applyFont="1" applyFill="1" applyBorder="1" applyAlignment="1" applyProtection="1">
      <alignment horizontal="left" vertical="center"/>
    </xf>
    <xf numFmtId="0" fontId="116" fillId="52" borderId="83" xfId="0" applyFont="1" applyFill="1" applyBorder="1" applyAlignment="1" applyProtection="1">
      <alignment horizontal="left" vertical="center"/>
    </xf>
    <xf numFmtId="0" fontId="116" fillId="52" borderId="84" xfId="0" applyFont="1" applyFill="1" applyBorder="1" applyAlignment="1" applyProtection="1">
      <alignment horizontal="left" vertical="center"/>
    </xf>
    <xf numFmtId="0" fontId="116" fillId="52" borderId="85" xfId="0" applyFont="1" applyFill="1" applyBorder="1" applyAlignment="1" applyProtection="1">
      <alignment horizontal="left" vertical="center"/>
    </xf>
    <xf numFmtId="0" fontId="116" fillId="52" borderId="26" xfId="0" applyFont="1" applyFill="1" applyBorder="1" applyAlignment="1" applyProtection="1">
      <alignment horizontal="left" vertical="center"/>
    </xf>
    <xf numFmtId="0" fontId="116" fillId="52" borderId="5" xfId="0" applyFont="1" applyFill="1" applyBorder="1" applyAlignment="1" applyProtection="1">
      <alignment horizontal="left" vertical="center"/>
    </xf>
    <xf numFmtId="0" fontId="116" fillId="52" borderId="27" xfId="0" applyFont="1" applyFill="1" applyBorder="1" applyAlignment="1" applyProtection="1">
      <alignment horizontal="left" vertical="center"/>
    </xf>
    <xf numFmtId="0" fontId="116" fillId="0" borderId="82" xfId="0" applyFont="1" applyBorder="1" applyAlignment="1" applyProtection="1">
      <alignment horizontal="left" vertical="center"/>
    </xf>
    <xf numFmtId="0" fontId="116" fillId="0" borderId="83" xfId="0" applyFont="1" applyBorder="1" applyAlignment="1" applyProtection="1">
      <alignment horizontal="left" vertical="center"/>
    </xf>
    <xf numFmtId="0" fontId="116" fillId="0" borderId="84" xfId="0" applyFont="1" applyBorder="1" applyAlignment="1" applyProtection="1">
      <alignment horizontal="left" vertical="center"/>
    </xf>
    <xf numFmtId="0" fontId="116" fillId="0" borderId="85" xfId="0" applyFont="1" applyBorder="1" applyAlignment="1" applyProtection="1">
      <alignment horizontal="left" vertical="center"/>
    </xf>
    <xf numFmtId="0" fontId="116" fillId="0" borderId="26" xfId="0" applyFont="1" applyBorder="1" applyAlignment="1" applyProtection="1">
      <alignment horizontal="left" vertical="center"/>
    </xf>
    <xf numFmtId="0" fontId="116" fillId="0" borderId="5" xfId="0" applyFont="1" applyBorder="1" applyAlignment="1" applyProtection="1">
      <alignment horizontal="left" vertical="center"/>
    </xf>
    <xf numFmtId="0" fontId="116" fillId="0" borderId="27" xfId="0" applyFont="1" applyBorder="1" applyAlignment="1" applyProtection="1">
      <alignment horizontal="left" vertical="center"/>
    </xf>
    <xf numFmtId="0" fontId="116" fillId="52" borderId="29" xfId="0" applyFont="1" applyFill="1" applyBorder="1" applyAlignment="1" applyProtection="1">
      <alignment horizontal="left" vertical="center"/>
    </xf>
    <xf numFmtId="0" fontId="116" fillId="52" borderId="24" xfId="0" applyFont="1" applyFill="1" applyBorder="1" applyAlignment="1" applyProtection="1">
      <alignment horizontal="left" vertical="center"/>
    </xf>
    <xf numFmtId="0" fontId="116" fillId="52" borderId="3" xfId="0" applyFont="1" applyFill="1" applyBorder="1" applyAlignment="1" applyProtection="1">
      <alignment horizontal="left" vertical="center"/>
    </xf>
    <xf numFmtId="0" fontId="116" fillId="52" borderId="25" xfId="0" applyFont="1" applyFill="1" applyBorder="1" applyAlignment="1" applyProtection="1">
      <alignment horizontal="left" vertical="center"/>
    </xf>
    <xf numFmtId="0" fontId="116" fillId="52" borderId="81" xfId="0" applyFont="1" applyFill="1" applyBorder="1" applyAlignment="1" applyProtection="1">
      <alignment horizontal="left" vertical="center"/>
    </xf>
    <xf numFmtId="0" fontId="116" fillId="0" borderId="29" xfId="0" applyFont="1" applyBorder="1" applyAlignment="1" applyProtection="1">
      <alignment horizontal="left" vertical="center"/>
    </xf>
    <xf numFmtId="0" fontId="116" fillId="0" borderId="24" xfId="0" applyFont="1" applyBorder="1" applyAlignment="1" applyProtection="1">
      <alignment horizontal="left" vertical="center"/>
    </xf>
    <xf numFmtId="0" fontId="116" fillId="0" borderId="3" xfId="0" applyFont="1" applyBorder="1" applyAlignment="1" applyProtection="1">
      <alignment horizontal="left" vertical="center"/>
    </xf>
    <xf numFmtId="0" fontId="116" fillId="0" borderId="25" xfId="0" applyFont="1" applyBorder="1" applyAlignment="1" applyProtection="1">
      <alignment horizontal="left" vertical="center"/>
    </xf>
    <xf numFmtId="0" fontId="116" fillId="0" borderId="81" xfId="0" applyFont="1" applyBorder="1" applyAlignment="1" applyProtection="1">
      <alignment horizontal="left" vertical="center"/>
    </xf>
    <xf numFmtId="0" fontId="116" fillId="54" borderId="81" xfId="0" applyFont="1" applyFill="1" applyBorder="1" applyAlignment="1" applyProtection="1">
      <alignment horizontal="left" vertical="center"/>
    </xf>
    <xf numFmtId="0" fontId="102" fillId="52" borderId="26" xfId="0" applyFont="1" applyFill="1" applyBorder="1" applyAlignment="1" applyProtection="1">
      <alignment horizontal="left" vertical="center"/>
    </xf>
    <xf numFmtId="0" fontId="102" fillId="52" borderId="5" xfId="0" applyFont="1" applyFill="1" applyBorder="1" applyAlignment="1" applyProtection="1">
      <alignment horizontal="left" vertical="center"/>
    </xf>
    <xf numFmtId="0" fontId="102" fillId="52" borderId="27" xfId="0" applyFont="1" applyFill="1" applyBorder="1" applyAlignment="1" applyProtection="1">
      <alignment horizontal="left" vertical="center"/>
    </xf>
    <xf numFmtId="0" fontId="102" fillId="0" borderId="26" xfId="0" applyFont="1" applyBorder="1" applyAlignment="1" applyProtection="1">
      <alignment horizontal="left" vertical="center"/>
    </xf>
    <xf numFmtId="0" fontId="102" fillId="0" borderId="5" xfId="0" applyFont="1" applyBorder="1" applyAlignment="1" applyProtection="1">
      <alignment horizontal="left" vertical="center"/>
    </xf>
    <xf numFmtId="0" fontId="102" fillId="0" borderId="27" xfId="0" applyFont="1" applyBorder="1" applyAlignment="1" applyProtection="1">
      <alignment horizontal="left" vertical="center"/>
    </xf>
    <xf numFmtId="1" fontId="116" fillId="52" borderId="81" xfId="0" applyNumberFormat="1" applyFont="1" applyFill="1" applyBorder="1" applyAlignment="1" applyProtection="1">
      <alignment horizontal="left" vertical="center"/>
    </xf>
    <xf numFmtId="0" fontId="102" fillId="52" borderId="81" xfId="0" applyFont="1" applyFill="1" applyBorder="1" applyAlignment="1" applyProtection="1">
      <alignment horizontal="left" vertical="center"/>
    </xf>
    <xf numFmtId="4" fontId="0" fillId="52" borderId="81" xfId="1204" applyNumberFormat="1" applyFont="1" applyFill="1" applyBorder="1" applyAlignment="1" applyProtection="1">
      <alignment horizontal="left" vertical="center"/>
      <protection locked="0"/>
    </xf>
    <xf numFmtId="1" fontId="116" fillId="0" borderId="81" xfId="0" applyNumberFormat="1" applyFont="1" applyBorder="1" applyAlignment="1" applyProtection="1">
      <alignment horizontal="left" vertical="center"/>
    </xf>
    <xf numFmtId="0" fontId="102" fillId="0" borderId="81" xfId="0" applyFont="1" applyBorder="1" applyAlignment="1" applyProtection="1">
      <alignment horizontal="left" vertical="center"/>
    </xf>
    <xf numFmtId="4" fontId="0" fillId="52" borderId="81" xfId="1204" applyNumberFormat="1" applyFont="1" applyFill="1" applyBorder="1" applyAlignment="1" applyProtection="1">
      <alignment horizontal="left" vertical="center"/>
    </xf>
    <xf numFmtId="4" fontId="0" fillId="0" borderId="81" xfId="1204" applyNumberFormat="1" applyFont="1" applyFill="1" applyBorder="1" applyAlignment="1" applyProtection="1">
      <alignment horizontal="left" vertical="center"/>
    </xf>
    <xf numFmtId="4" fontId="0" fillId="0" borderId="81" xfId="1204" applyNumberFormat="1" applyFont="1" applyFill="1" applyBorder="1" applyAlignment="1" applyProtection="1">
      <alignment horizontal="left" vertical="center"/>
      <protection locked="0"/>
    </xf>
    <xf numFmtId="0" fontId="5" fillId="52" borderId="81" xfId="0" applyFont="1" applyFill="1" applyBorder="1" applyAlignment="1" applyProtection="1">
      <alignment horizontal="left" vertical="center"/>
    </xf>
    <xf numFmtId="0" fontId="5" fillId="0" borderId="81" xfId="0" applyFont="1" applyBorder="1" applyAlignment="1" applyProtection="1">
      <alignment horizontal="left" vertical="center"/>
    </xf>
    <xf numFmtId="4" fontId="0" fillId="52" borderId="81" xfId="0" applyNumberFormat="1" applyFont="1" applyFill="1" applyBorder="1" applyAlignment="1" applyProtection="1">
      <alignment horizontal="left" vertical="center"/>
    </xf>
    <xf numFmtId="4" fontId="0" fillId="0" borderId="81" xfId="0" applyNumberFormat="1" applyFont="1" applyBorder="1" applyAlignment="1" applyProtection="1">
      <alignment horizontal="left" vertical="center"/>
    </xf>
    <xf numFmtId="0" fontId="102" fillId="52" borderId="72" xfId="0" applyFont="1" applyFill="1" applyBorder="1" applyAlignment="1" applyProtection="1">
      <alignment horizontal="left" vertical="center"/>
    </xf>
    <xf numFmtId="0" fontId="102" fillId="52" borderId="73" xfId="0" applyFont="1" applyFill="1" applyBorder="1" applyAlignment="1" applyProtection="1">
      <alignment horizontal="left" vertical="center"/>
    </xf>
    <xf numFmtId="0" fontId="102" fillId="52" borderId="74" xfId="0" applyFont="1" applyFill="1" applyBorder="1" applyAlignment="1" applyProtection="1">
      <alignment horizontal="left" vertical="center"/>
    </xf>
    <xf numFmtId="2" fontId="116" fillId="0" borderId="0" xfId="0" applyNumberFormat="1" applyFont="1" applyBorder="1" applyAlignment="1" applyProtection="1">
      <alignment horizontal="left" vertical="center"/>
    </xf>
    <xf numFmtId="0" fontId="102" fillId="0" borderId="40" xfId="0" applyFont="1" applyBorder="1" applyAlignment="1" applyProtection="1">
      <alignment horizontal="left" vertical="center"/>
    </xf>
    <xf numFmtId="0" fontId="102" fillId="0" borderId="0" xfId="0" applyFont="1" applyBorder="1" applyAlignment="1" applyProtection="1">
      <alignment horizontal="left" vertical="center"/>
    </xf>
    <xf numFmtId="0" fontId="0" fillId="0" borderId="0" xfId="0" applyFill="1" applyAlignment="1" applyProtection="1">
      <alignment horizontal="right"/>
    </xf>
    <xf numFmtId="1" fontId="7" fillId="5" borderId="1" xfId="1203" applyNumberFormat="1" applyFont="1" applyFill="1" applyBorder="1" applyAlignment="1" applyProtection="1">
      <alignment horizontal="right" vertical="center" wrapText="1"/>
    </xf>
    <xf numFmtId="0" fontId="132" fillId="0" borderId="1" xfId="0" applyFont="1" applyBorder="1" applyAlignment="1" applyProtection="1">
      <alignment horizontal="center" vertical="center"/>
      <protection locked="0"/>
    </xf>
    <xf numFmtId="2" fontId="93" fillId="0" borderId="0" xfId="1169" applyNumberFormat="1" applyFont="1" applyFill="1" applyAlignment="1" applyProtection="1">
      <alignment horizontal="left" vertical="center"/>
    </xf>
    <xf numFmtId="4" fontId="93" fillId="5" borderId="1" xfId="3" applyNumberFormat="1" applyFont="1" applyFill="1" applyBorder="1" applyAlignment="1" applyProtection="1">
      <alignment horizontal="left" vertical="center" wrapText="1"/>
    </xf>
    <xf numFmtId="4" fontId="8" fillId="55" borderId="81" xfId="3" applyNumberFormat="1" applyFont="1" applyFill="1" applyBorder="1" applyAlignment="1" applyProtection="1">
      <alignment horizontal="left" vertical="center" wrapText="1"/>
    </xf>
    <xf numFmtId="4" fontId="8" fillId="55" borderId="81" xfId="0" applyNumberFormat="1" applyFont="1" applyFill="1" applyBorder="1" applyAlignment="1" applyProtection="1">
      <alignment horizontal="center"/>
    </xf>
    <xf numFmtId="4" fontId="7" fillId="5" borderId="81" xfId="3" applyNumberFormat="1" applyFont="1" applyFill="1" applyBorder="1" applyAlignment="1" applyProtection="1">
      <alignment horizontal="left" vertical="center" wrapText="1"/>
    </xf>
    <xf numFmtId="4" fontId="137" fillId="5" borderId="81" xfId="3" applyNumberFormat="1" applyFont="1" applyFill="1" applyBorder="1" applyAlignment="1" applyProtection="1">
      <alignment horizontal="center" vertical="center" wrapText="1"/>
    </xf>
    <xf numFmtId="0" fontId="99" fillId="5" borderId="81" xfId="1169" applyFont="1" applyFill="1" applyBorder="1" applyAlignment="1" applyProtection="1">
      <alignment horizontal="center" vertical="distributed"/>
    </xf>
    <xf numFmtId="0" fontId="99" fillId="5" borderId="81" xfId="1169" applyFont="1" applyFill="1" applyBorder="1" applyAlignment="1" applyProtection="1">
      <alignment horizontal="center" vertical="center" wrapText="1"/>
    </xf>
    <xf numFmtId="49" fontId="8" fillId="5" borderId="81" xfId="3" applyNumberFormat="1" applyFont="1" applyFill="1" applyBorder="1" applyAlignment="1" applyProtection="1">
      <alignment horizontal="center" vertical="center" wrapText="1"/>
    </xf>
    <xf numFmtId="4" fontId="127" fillId="5" borderId="81" xfId="3" applyNumberFormat="1" applyFont="1" applyFill="1" applyBorder="1" applyAlignment="1" applyProtection="1">
      <alignment horizontal="center" vertical="center" wrapText="1"/>
    </xf>
    <xf numFmtId="4" fontId="0" fillId="52" borderId="81" xfId="0" applyNumberFormat="1" applyFill="1" applyBorder="1" applyAlignment="1" applyProtection="1">
      <alignment horizontal="center"/>
      <protection locked="0"/>
    </xf>
    <xf numFmtId="4" fontId="93" fillId="5" borderId="81" xfId="3" applyNumberFormat="1" applyFont="1" applyFill="1" applyBorder="1" applyAlignment="1" applyProtection="1">
      <alignment horizontal="left" vertical="center" wrapText="1"/>
    </xf>
    <xf numFmtId="4" fontId="3" fillId="52" borderId="81" xfId="0" applyNumberFormat="1" applyFont="1" applyFill="1" applyBorder="1" applyAlignment="1" applyProtection="1">
      <alignment horizontal="center"/>
      <protection locked="0"/>
    </xf>
    <xf numFmtId="4" fontId="8" fillId="0" borderId="81" xfId="3" applyNumberFormat="1" applyFont="1" applyFill="1" applyBorder="1" applyAlignment="1" applyProtection="1">
      <alignment horizontal="left" vertical="center" wrapText="1"/>
    </xf>
    <xf numFmtId="0" fontId="140" fillId="0" borderId="0" xfId="1169" applyFont="1" applyAlignment="1" applyProtection="1">
      <alignment horizontal="center"/>
    </xf>
    <xf numFmtId="0" fontId="8" fillId="0" borderId="0" xfId="1169" applyFont="1" applyProtection="1"/>
    <xf numFmtId="0" fontId="7" fillId="0" borderId="0" xfId="1169" applyFont="1" applyAlignment="1" applyProtection="1">
      <alignment horizontal="center"/>
    </xf>
    <xf numFmtId="4" fontId="7" fillId="6" borderId="1" xfId="1169" applyNumberFormat="1" applyFont="1" applyFill="1" applyBorder="1" applyAlignment="1" applyProtection="1">
      <alignment horizontal="center" vertical="center"/>
      <protection locked="0"/>
    </xf>
    <xf numFmtId="4" fontId="7" fillId="5" borderId="27" xfId="1169" applyNumberFormat="1" applyFont="1" applyFill="1" applyBorder="1" applyAlignment="1" applyProtection="1">
      <alignment horizontal="center" vertical="center"/>
    </xf>
    <xf numFmtId="2" fontId="95" fillId="0" borderId="0" xfId="0" applyNumberFormat="1" applyFont="1" applyAlignment="1" applyProtection="1">
      <alignment horizontal="center"/>
    </xf>
    <xf numFmtId="4" fontId="143" fillId="59" borderId="41" xfId="1169" applyNumberFormat="1" applyFont="1" applyFill="1" applyBorder="1" applyAlignment="1" applyProtection="1">
      <alignment horizontal="center" vertical="center" wrapText="1"/>
    </xf>
    <xf numFmtId="4" fontId="143" fillId="59" borderId="41" xfId="1169" applyNumberFormat="1" applyFont="1" applyFill="1" applyBorder="1" applyAlignment="1" applyProtection="1">
      <alignment horizontal="center" vertical="center"/>
    </xf>
    <xf numFmtId="3" fontId="143" fillId="59" borderId="41" xfId="1169" applyNumberFormat="1" applyFont="1" applyFill="1" applyBorder="1" applyAlignment="1" applyProtection="1">
      <alignment horizontal="center" vertical="center" wrapText="1"/>
    </xf>
    <xf numFmtId="0" fontId="7" fillId="5" borderId="5" xfId="1169" applyFont="1" applyFill="1" applyBorder="1" applyAlignment="1" applyProtection="1">
      <alignment vertical="center" wrapText="1"/>
    </xf>
    <xf numFmtId="0" fontId="106" fillId="5" borderId="26" xfId="1169" applyFont="1" applyFill="1" applyBorder="1" applyAlignment="1" applyProtection="1">
      <alignment horizontal="center" vertical="center" wrapText="1"/>
    </xf>
    <xf numFmtId="0" fontId="7" fillId="5" borderId="26" xfId="1169" applyFont="1" applyFill="1" applyBorder="1" applyAlignment="1" applyProtection="1">
      <alignment horizontal="center"/>
    </xf>
    <xf numFmtId="0" fontId="7" fillId="5" borderId="26" xfId="1169" applyFont="1" applyFill="1" applyBorder="1" applyAlignment="1" applyProtection="1">
      <alignment horizontal="center" vertical="center" wrapText="1"/>
    </xf>
    <xf numFmtId="0" fontId="106" fillId="5" borderId="81" xfId="1169" applyFont="1" applyFill="1" applyBorder="1" applyAlignment="1" applyProtection="1">
      <alignment horizontal="center" vertical="center" wrapText="1"/>
    </xf>
    <xf numFmtId="4" fontId="92" fillId="3" borderId="81" xfId="1203" applyNumberFormat="1" applyFont="1" applyFill="1" applyBorder="1" applyAlignment="1" applyProtection="1">
      <alignment horizontal="center" vertical="center" wrapText="1"/>
    </xf>
    <xf numFmtId="0" fontId="7" fillId="5" borderId="1" xfId="1169" applyFont="1" applyFill="1" applyBorder="1" applyAlignment="1" applyProtection="1">
      <alignment horizontal="center" vertical="center"/>
    </xf>
    <xf numFmtId="0" fontId="106" fillId="5" borderId="1" xfId="1169" applyFont="1" applyFill="1" applyBorder="1" applyAlignment="1" applyProtection="1">
      <alignment horizontal="center" vertical="center" wrapText="1"/>
    </xf>
    <xf numFmtId="0" fontId="8" fillId="0" borderId="0" xfId="1169" applyFont="1" applyAlignment="1" applyProtection="1">
      <alignment horizontal="center"/>
    </xf>
    <xf numFmtId="1" fontId="106" fillId="0" borderId="0" xfId="1169" applyNumberFormat="1" applyFont="1" applyAlignment="1" applyProtection="1">
      <alignment horizontal="center"/>
    </xf>
    <xf numFmtId="1" fontId="106" fillId="5" borderId="1" xfId="0" applyNumberFormat="1" applyFont="1" applyFill="1" applyBorder="1" applyAlignment="1" applyProtection="1">
      <alignment horizontal="center" vertical="center" wrapText="1" shrinkToFit="1"/>
    </xf>
    <xf numFmtId="49" fontId="90" fillId="0" borderId="0" xfId="1203" applyNumberFormat="1" applyFont="1" applyFill="1" applyBorder="1" applyAlignment="1" applyProtection="1">
      <alignment horizontal="center" vertical="center" wrapText="1"/>
    </xf>
    <xf numFmtId="0" fontId="106" fillId="5" borderId="21" xfId="0" applyFont="1" applyFill="1" applyBorder="1" applyAlignment="1" applyProtection="1">
      <alignment horizontal="center" vertical="center" wrapText="1"/>
    </xf>
    <xf numFmtId="2" fontId="131" fillId="3" borderId="1" xfId="1203" applyNumberFormat="1" applyFont="1" applyFill="1" applyBorder="1" applyAlignment="1" applyProtection="1">
      <alignment horizontal="center" vertical="center" wrapText="1"/>
    </xf>
    <xf numFmtId="4" fontId="7" fillId="3" borderId="1" xfId="1203" applyNumberFormat="1" applyFont="1" applyFill="1" applyBorder="1" applyAlignment="1" applyProtection="1">
      <alignment horizontal="center" vertical="center" wrapText="1"/>
    </xf>
    <xf numFmtId="0" fontId="132" fillId="5" borderId="1" xfId="0" applyFont="1" applyFill="1" applyBorder="1" applyAlignment="1" applyProtection="1">
      <alignment horizontal="center" vertical="center"/>
    </xf>
    <xf numFmtId="0" fontId="5" fillId="0" borderId="1" xfId="1169" applyFont="1" applyBorder="1" applyAlignment="1" applyProtection="1">
      <alignment horizontal="center" vertical="center" wrapText="1"/>
    </xf>
    <xf numFmtId="0" fontId="7" fillId="5" borderId="21" xfId="1203" applyFont="1" applyFill="1" applyBorder="1" applyAlignment="1" applyProtection="1">
      <alignment horizontal="center" vertical="center" wrapText="1"/>
    </xf>
    <xf numFmtId="0" fontId="7" fillId="5" borderId="29" xfId="1203" applyFont="1" applyFill="1" applyBorder="1" applyAlignment="1" applyProtection="1">
      <alignment horizontal="center" vertical="center" wrapText="1"/>
    </xf>
    <xf numFmtId="1" fontId="8" fillId="5" borderId="21" xfId="1203" applyNumberFormat="1" applyFont="1" applyFill="1" applyBorder="1" applyAlignment="1" applyProtection="1">
      <alignment horizontal="center" vertical="center" wrapText="1"/>
    </xf>
    <xf numFmtId="1" fontId="8" fillId="5" borderId="29" xfId="1203" applyNumberFormat="1" applyFont="1" applyFill="1" applyBorder="1" applyAlignment="1" applyProtection="1">
      <alignment horizontal="center" vertical="center" wrapText="1"/>
    </xf>
    <xf numFmtId="1" fontId="92" fillId="0" borderId="21" xfId="1203" applyNumberFormat="1" applyFont="1" applyFill="1" applyBorder="1" applyAlignment="1" applyProtection="1">
      <alignment horizontal="center" vertical="center" wrapText="1"/>
      <protection locked="0"/>
    </xf>
    <xf numFmtId="0" fontId="132" fillId="0" borderId="0" xfId="0" applyFont="1" applyAlignment="1" applyProtection="1">
      <alignment horizontal="center"/>
    </xf>
    <xf numFmtId="1" fontId="7" fillId="0" borderId="1" xfId="1203" applyNumberFormat="1" applyFont="1" applyFill="1" applyBorder="1" applyAlignment="1" applyProtection="1">
      <alignment horizontal="center" vertical="center" wrapText="1"/>
      <protection locked="0"/>
    </xf>
    <xf numFmtId="1" fontId="92" fillId="0" borderId="1" xfId="1203" applyNumberFormat="1" applyFont="1" applyFill="1" applyBorder="1" applyAlignment="1" applyProtection="1">
      <alignment horizontal="center" vertical="center" wrapText="1"/>
      <protection locked="0"/>
    </xf>
    <xf numFmtId="0" fontId="8" fillId="5" borderId="1" xfId="1203" applyFont="1" applyFill="1" applyBorder="1" applyAlignment="1" applyProtection="1">
      <alignment horizontal="center" vertical="center" wrapText="1"/>
    </xf>
    <xf numFmtId="1" fontId="93" fillId="0" borderId="0" xfId="1203" applyNumberFormat="1" applyFont="1" applyFill="1" applyBorder="1" applyAlignment="1" applyProtection="1">
      <alignment horizontal="center" vertical="center" wrapText="1"/>
    </xf>
    <xf numFmtId="1" fontId="8" fillId="0" borderId="0" xfId="1203" applyNumberFormat="1" applyFont="1" applyFill="1" applyBorder="1" applyAlignment="1" applyProtection="1">
      <alignment horizontal="center" vertical="center" wrapText="1"/>
    </xf>
    <xf numFmtId="1" fontId="8" fillId="5" borderId="1" xfId="1203" applyNumberFormat="1" applyFont="1" applyFill="1" applyBorder="1" applyAlignment="1" applyProtection="1">
      <alignment horizontal="center" vertical="center" wrapText="1"/>
    </xf>
    <xf numFmtId="0" fontId="8" fillId="5" borderId="29" xfId="1203" applyFont="1" applyFill="1" applyBorder="1" applyAlignment="1" applyProtection="1">
      <alignment horizontal="center" vertical="center" wrapText="1"/>
    </xf>
    <xf numFmtId="2" fontId="8" fillId="0" borderId="0" xfId="1203" applyNumberFormat="1" applyFont="1" applyFill="1" applyBorder="1" applyAlignment="1" applyProtection="1">
      <alignment horizontal="center" vertical="center" wrapText="1"/>
    </xf>
    <xf numFmtId="2" fontId="93" fillId="0" borderId="0" xfId="1203" applyNumberFormat="1" applyFont="1" applyFill="1" applyBorder="1" applyAlignment="1" applyProtection="1">
      <alignment horizontal="center" vertical="center" wrapText="1"/>
    </xf>
    <xf numFmtId="0" fontId="8" fillId="5" borderId="5" xfId="1169" applyFont="1" applyFill="1" applyBorder="1" applyAlignment="1" applyProtection="1">
      <alignment horizontal="center" vertical="center" wrapText="1"/>
    </xf>
    <xf numFmtId="1" fontId="7" fillId="0" borderId="0" xfId="1169" applyNumberFormat="1" applyFont="1" applyFill="1" applyAlignment="1" applyProtection="1">
      <alignment horizontal="center" vertical="center"/>
    </xf>
    <xf numFmtId="0" fontId="7" fillId="5" borderId="1" xfId="1169" applyFont="1" applyFill="1" applyBorder="1" applyAlignment="1" applyProtection="1">
      <alignment horizontal="center" vertical="center" wrapText="1"/>
    </xf>
    <xf numFmtId="49" fontId="8" fillId="5" borderId="1" xfId="1203" applyNumberFormat="1" applyFont="1" applyFill="1" applyBorder="1" applyAlignment="1" applyProtection="1">
      <alignment horizontal="center" vertical="center" wrapText="1"/>
    </xf>
    <xf numFmtId="0" fontId="6" fillId="5" borderId="21" xfId="1169" applyFont="1" applyFill="1" applyBorder="1" applyAlignment="1" applyProtection="1">
      <alignment horizontal="center" vertical="center" wrapText="1"/>
    </xf>
    <xf numFmtId="0" fontId="6" fillId="5" borderId="1" xfId="1169" applyFont="1" applyFill="1" applyBorder="1" applyAlignment="1" applyProtection="1">
      <alignment horizontal="center" vertical="center" wrapText="1"/>
    </xf>
    <xf numFmtId="0" fontId="102" fillId="5" borderId="1" xfId="1169" applyFont="1" applyFill="1" applyBorder="1" applyAlignment="1" applyProtection="1">
      <alignment horizontal="center" vertical="center" wrapText="1"/>
    </xf>
    <xf numFmtId="0" fontId="6" fillId="5" borderId="5" xfId="1169" applyFont="1" applyFill="1" applyBorder="1" applyAlignment="1" applyProtection="1">
      <alignment horizontal="center" vertical="center" wrapText="1"/>
    </xf>
    <xf numFmtId="0" fontId="102" fillId="5" borderId="1" xfId="1169" applyFont="1" applyFill="1" applyBorder="1" applyAlignment="1" applyProtection="1">
      <alignment horizontal="center" vertical="center" wrapText="1"/>
      <protection hidden="1"/>
    </xf>
    <xf numFmtId="2" fontId="8" fillId="0" borderId="0" xfId="1169" applyNumberFormat="1" applyFont="1" applyFill="1" applyAlignment="1" applyProtection="1">
      <alignment horizontal="center"/>
    </xf>
    <xf numFmtId="0" fontId="8" fillId="5" borderId="1" xfId="1169" applyFont="1" applyFill="1" applyBorder="1" applyAlignment="1" applyProtection="1">
      <alignment horizontal="center" vertical="center" wrapText="1"/>
    </xf>
    <xf numFmtId="0" fontId="113" fillId="0" borderId="0" xfId="0" applyFont="1" applyAlignment="1" applyProtection="1">
      <alignment horizontal="center"/>
    </xf>
    <xf numFmtId="49" fontId="8" fillId="2" borderId="1" xfId="1203" applyNumberFormat="1" applyFont="1" applyFill="1" applyBorder="1" applyAlignment="1" applyProtection="1">
      <alignment horizontal="center" vertical="center" wrapText="1"/>
    </xf>
    <xf numFmtId="2" fontId="93" fillId="0" borderId="0" xfId="1169" applyNumberFormat="1" applyFont="1" applyFill="1" applyAlignment="1" applyProtection="1">
      <alignment horizontal="center"/>
    </xf>
    <xf numFmtId="0" fontId="5" fillId="0" borderId="0" xfId="1169" applyFont="1" applyBorder="1" applyAlignment="1" applyProtection="1">
      <alignment vertical="center"/>
    </xf>
    <xf numFmtId="0" fontId="5" fillId="0" borderId="0" xfId="1169" applyFont="1" applyBorder="1" applyProtection="1"/>
    <xf numFmtId="0" fontId="5" fillId="0" borderId="38" xfId="1169" applyFont="1" applyFill="1" applyBorder="1" applyProtection="1"/>
    <xf numFmtId="0" fontId="116" fillId="0" borderId="1" xfId="1169" applyFont="1" applyBorder="1" applyAlignment="1" applyProtection="1">
      <alignment horizontal="center" vertical="center" wrapText="1"/>
    </xf>
    <xf numFmtId="0" fontId="5" fillId="0" borderId="0" xfId="1169" applyFont="1" applyFill="1" applyBorder="1" applyProtection="1"/>
    <xf numFmtId="0" fontId="116" fillId="0" borderId="1" xfId="1169" applyFont="1" applyFill="1" applyBorder="1" applyAlignment="1" applyProtection="1">
      <alignment horizontal="center" vertical="center" wrapText="1"/>
    </xf>
    <xf numFmtId="0" fontId="115" fillId="0" borderId="1" xfId="1169" applyFont="1" applyBorder="1" applyAlignment="1" applyProtection="1">
      <alignment horizontal="center" vertical="center" wrapText="1"/>
    </xf>
    <xf numFmtId="0" fontId="5" fillId="0" borderId="0" xfId="1169" applyFont="1" applyBorder="1" applyAlignment="1" applyProtection="1">
      <alignment vertical="center" wrapText="1"/>
    </xf>
    <xf numFmtId="0" fontId="5" fillId="0" borderId="0" xfId="1169" applyFont="1" applyFill="1" applyBorder="1" applyAlignment="1" applyProtection="1">
      <alignment vertical="center" wrapText="1"/>
    </xf>
    <xf numFmtId="0" fontId="5" fillId="0" borderId="0" xfId="1169" applyFont="1" applyAlignment="1" applyProtection="1">
      <alignment vertical="center"/>
    </xf>
    <xf numFmtId="0" fontId="5" fillId="0" borderId="0" xfId="1169" applyFont="1" applyFill="1" applyAlignment="1" applyProtection="1">
      <alignment vertical="center"/>
    </xf>
    <xf numFmtId="0" fontId="102" fillId="0" borderId="1" xfId="1169" applyFont="1" applyFill="1" applyBorder="1" applyAlignment="1" applyProtection="1">
      <alignment horizontal="center" vertical="center" wrapText="1"/>
    </xf>
    <xf numFmtId="0" fontId="139" fillId="0" borderId="0" xfId="1169" applyFont="1" applyAlignment="1" applyProtection="1">
      <alignment vertical="center" wrapText="1"/>
      <protection locked="0"/>
    </xf>
    <xf numFmtId="0" fontId="5" fillId="0" borderId="0" xfId="1169" applyFont="1" applyAlignment="1" applyProtection="1">
      <alignment vertical="center" wrapText="1"/>
      <protection locked="0"/>
    </xf>
    <xf numFmtId="2" fontId="93" fillId="0" borderId="0" xfId="1169" applyNumberFormat="1" applyFont="1" applyAlignment="1" applyProtection="1">
      <alignment horizontal="center"/>
    </xf>
    <xf numFmtId="0" fontId="102" fillId="0" borderId="1" xfId="1169" applyFont="1" applyBorder="1" applyAlignment="1" applyProtection="1">
      <alignment horizontal="center" vertical="center" wrapText="1"/>
    </xf>
    <xf numFmtId="4" fontId="7" fillId="0" borderId="1" xfId="1169" applyNumberFormat="1" applyFont="1" applyFill="1" applyBorder="1" applyAlignment="1" applyProtection="1">
      <alignment horizontal="center" vertical="center" wrapText="1"/>
    </xf>
    <xf numFmtId="4" fontId="7" fillId="3" borderId="1" xfId="1203" applyNumberFormat="1" applyFont="1" applyFill="1" applyBorder="1" applyAlignment="1" applyProtection="1">
      <alignment horizontal="center" vertical="center" wrapText="1"/>
    </xf>
    <xf numFmtId="2" fontId="6" fillId="5" borderId="1" xfId="0" applyNumberFormat="1" applyFont="1" applyFill="1" applyBorder="1" applyAlignment="1" applyProtection="1">
      <alignment horizontal="center" vertical="center" wrapText="1"/>
      <protection locked="0" hidden="1"/>
    </xf>
    <xf numFmtId="0" fontId="5" fillId="0" borderId="0" xfId="1" applyFont="1" applyBorder="1" applyAlignment="1" applyProtection="1">
      <alignment vertical="center" wrapText="1"/>
    </xf>
    <xf numFmtId="0" fontId="5" fillId="2" borderId="0"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5" fillId="0" borderId="0" xfId="0" applyFont="1" applyBorder="1" applyProtection="1"/>
    <xf numFmtId="0" fontId="6" fillId="2" borderId="1"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center" wrapText="1"/>
    </xf>
    <xf numFmtId="0" fontId="5" fillId="0" borderId="0" xfId="1" applyFont="1" applyAlignment="1" applyProtection="1">
      <alignment vertical="center" wrapText="1"/>
    </xf>
    <xf numFmtId="0" fontId="6" fillId="2" borderId="0"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vertical="center" wrapText="1"/>
    </xf>
    <xf numFmtId="1" fontId="5" fillId="2" borderId="3" xfId="0" applyNumberFormat="1" applyFont="1" applyFill="1" applyBorder="1" applyAlignment="1" applyProtection="1">
      <alignment horizontal="center" vertical="center" wrapText="1"/>
    </xf>
    <xf numFmtId="0" fontId="7" fillId="0" borderId="0" xfId="1169" applyAlignment="1" applyProtection="1">
      <alignment wrapText="1"/>
      <protection locked="0"/>
    </xf>
    <xf numFmtId="4" fontId="7" fillId="6" borderId="81" xfId="1169" applyNumberFormat="1" applyFont="1" applyFill="1" applyBorder="1" applyAlignment="1" applyProtection="1">
      <alignment horizontal="center" vertical="center"/>
      <protection locked="0"/>
    </xf>
    <xf numFmtId="4" fontId="7" fillId="6" borderId="27" xfId="1169" applyNumberFormat="1" applyFont="1" applyFill="1" applyBorder="1" applyAlignment="1" applyProtection="1">
      <alignment horizontal="center" vertical="center"/>
      <protection locked="0"/>
    </xf>
    <xf numFmtId="0" fontId="92" fillId="0" borderId="0" xfId="1169" applyFont="1" applyFill="1" applyBorder="1" applyAlignment="1" applyProtection="1">
      <alignment horizontal="center" vertical="center" wrapText="1"/>
    </xf>
    <xf numFmtId="0" fontId="104" fillId="0" borderId="0" xfId="1169" applyFont="1" applyFill="1" applyBorder="1" applyAlignment="1" applyProtection="1">
      <alignment vertical="center" wrapText="1"/>
    </xf>
    <xf numFmtId="0" fontId="104" fillId="0" borderId="0" xfId="1169" applyFont="1" applyFill="1" applyBorder="1" applyAlignment="1" applyProtection="1">
      <alignment horizontal="center" vertical="center" wrapText="1"/>
    </xf>
    <xf numFmtId="4" fontId="7" fillId="5" borderId="81" xfId="1169" applyNumberFormat="1" applyFont="1" applyFill="1" applyBorder="1" applyAlignment="1" applyProtection="1">
      <alignment horizontal="center"/>
    </xf>
    <xf numFmtId="4" fontId="7" fillId="5" borderId="27" xfId="1169" applyNumberFormat="1" applyFont="1" applyFill="1" applyBorder="1" applyAlignment="1" applyProtection="1">
      <alignment horizontal="center"/>
    </xf>
    <xf numFmtId="0" fontId="106" fillId="2" borderId="5" xfId="1169" applyFont="1" applyFill="1" applyBorder="1" applyAlignment="1" applyProtection="1">
      <alignment vertical="center" wrapText="1"/>
    </xf>
    <xf numFmtId="0" fontId="92" fillId="5" borderId="1" xfId="1169" applyFont="1" applyFill="1" applyBorder="1" applyAlignment="1" applyProtection="1">
      <alignment wrapText="1"/>
    </xf>
    <xf numFmtId="0" fontId="76" fillId="5" borderId="1" xfId="1438" applyNumberFormat="1" applyFont="1" applyFill="1" applyBorder="1" applyAlignment="1" applyProtection="1">
      <alignment horizontal="center" vertical="center" wrapText="1"/>
    </xf>
    <xf numFmtId="49" fontId="54" fillId="5" borderId="1" xfId="1169" applyNumberFormat="1" applyFont="1" applyFill="1" applyBorder="1" applyAlignment="1" applyProtection="1">
      <alignment horizontal="center" vertical="center" wrapText="1"/>
    </xf>
    <xf numFmtId="0" fontId="54" fillId="5" borderId="1" xfId="1169" applyNumberFormat="1" applyFont="1" applyFill="1" applyBorder="1" applyAlignment="1" applyProtection="1">
      <alignment horizontal="left" vertical="center" wrapText="1"/>
    </xf>
    <xf numFmtId="49" fontId="54" fillId="5" borderId="1" xfId="1169" applyNumberFormat="1" applyFont="1" applyFill="1" applyBorder="1" applyAlignment="1" applyProtection="1">
      <alignment horizontal="left" vertical="center" wrapText="1"/>
    </xf>
    <xf numFmtId="0" fontId="54" fillId="5" borderId="1" xfId="1169" applyNumberFormat="1" applyFont="1" applyFill="1" applyBorder="1" applyAlignment="1" applyProtection="1">
      <alignment horizontal="center" vertical="center" wrapText="1"/>
    </xf>
    <xf numFmtId="49" fontId="54" fillId="5" borderId="1" xfId="1441" applyNumberFormat="1" applyFont="1" applyFill="1" applyBorder="1" applyAlignment="1" applyProtection="1">
      <alignment horizontal="left" vertical="center" wrapText="1"/>
    </xf>
    <xf numFmtId="49" fontId="54" fillId="5" borderId="1" xfId="1169" applyNumberFormat="1" applyFont="1" applyFill="1" applyBorder="1" applyAlignment="1" applyProtection="1">
      <alignment horizontal="left" vertical="center" wrapText="1" indent="2"/>
    </xf>
    <xf numFmtId="49" fontId="54" fillId="5" borderId="1" xfId="1439" applyNumberFormat="1" applyFont="1" applyFill="1" applyBorder="1" applyAlignment="1" applyProtection="1">
      <alignment horizontal="left" vertical="center" wrapText="1"/>
    </xf>
    <xf numFmtId="49" fontId="90" fillId="0" borderId="0" xfId="1203" applyNumberFormat="1" applyFont="1" applyFill="1" applyBorder="1" applyAlignment="1" applyProtection="1">
      <alignment horizontal="center" vertical="center" wrapText="1"/>
      <protection locked="0"/>
    </xf>
    <xf numFmtId="0" fontId="0" fillId="0" borderId="0" xfId="0" applyFill="1" applyProtection="1"/>
    <xf numFmtId="0" fontId="0" fillId="0" borderId="0" xfId="0" applyFill="1" applyBorder="1" applyProtection="1"/>
    <xf numFmtId="0" fontId="113" fillId="0" borderId="0" xfId="0" applyFont="1" applyAlignment="1" applyProtection="1">
      <alignment wrapText="1"/>
      <protection locked="0"/>
    </xf>
    <xf numFmtId="0" fontId="113" fillId="0" borderId="0" xfId="0" applyFont="1" applyProtection="1">
      <protection locked="0"/>
    </xf>
    <xf numFmtId="2" fontId="131" fillId="0" borderId="0" xfId="1203" applyNumberFormat="1" applyFont="1" applyFill="1" applyBorder="1" applyAlignment="1" applyProtection="1">
      <alignment horizontal="center" vertical="center" wrapText="1"/>
      <protection locked="0"/>
    </xf>
    <xf numFmtId="4" fontId="140" fillId="6" borderId="1" xfId="1203" applyNumberFormat="1" applyFont="1" applyFill="1" applyBorder="1" applyAlignment="1" applyProtection="1">
      <alignment horizontal="center" vertical="center" wrapText="1"/>
      <protection locked="0"/>
    </xf>
    <xf numFmtId="4" fontId="7" fillId="0" borderId="0" xfId="1203" applyNumberFormat="1" applyFont="1" applyFill="1" applyBorder="1" applyAlignment="1" applyProtection="1">
      <alignment horizontal="center" vertical="center" wrapText="1"/>
      <protection locked="0"/>
    </xf>
    <xf numFmtId="4" fontId="140" fillId="52" borderId="1" xfId="1203" applyNumberFormat="1" applyFont="1" applyFill="1" applyBorder="1" applyAlignment="1" applyProtection="1">
      <alignment horizontal="center" vertical="center" wrapText="1"/>
      <protection locked="0"/>
    </xf>
    <xf numFmtId="4" fontId="131" fillId="52" borderId="1" xfId="0" applyNumberFormat="1" applyFont="1" applyFill="1" applyBorder="1" applyAlignment="1" applyProtection="1">
      <alignment horizontal="center"/>
      <protection locked="0"/>
    </xf>
    <xf numFmtId="0" fontId="117" fillId="0" borderId="0" xfId="0" applyFont="1" applyProtection="1">
      <protection locked="0"/>
    </xf>
    <xf numFmtId="4" fontId="5" fillId="0" borderId="0" xfId="1203" applyNumberFormat="1" applyFont="1" applyFill="1" applyBorder="1" applyAlignment="1" applyProtection="1">
      <alignment horizontal="center" vertical="center" wrapText="1"/>
      <protection locked="0"/>
    </xf>
    <xf numFmtId="4" fontId="157" fillId="52" borderId="1" xfId="0" applyNumberFormat="1" applyFont="1" applyFill="1" applyBorder="1" applyAlignment="1" applyProtection="1">
      <alignment horizontal="center"/>
      <protection locked="0"/>
    </xf>
    <xf numFmtId="187" fontId="7" fillId="0" borderId="0" xfId="1203" applyNumberFormat="1" applyFont="1" applyFill="1" applyBorder="1" applyAlignment="1" applyProtection="1">
      <alignment horizontal="center" vertical="center" wrapText="1"/>
      <protection locked="0"/>
    </xf>
    <xf numFmtId="0" fontId="131" fillId="52" borderId="1" xfId="0" applyFont="1" applyFill="1" applyBorder="1" applyAlignment="1" applyProtection="1">
      <alignment horizontal="center"/>
      <protection locked="0"/>
    </xf>
    <xf numFmtId="0" fontId="131" fillId="52" borderId="1" xfId="0" applyFont="1" applyFill="1" applyBorder="1" applyProtection="1">
      <protection locked="0"/>
    </xf>
    <xf numFmtId="187" fontId="7" fillId="52" borderId="1" xfId="1203" applyNumberFormat="1" applyFont="1" applyFill="1" applyBorder="1" applyAlignment="1" applyProtection="1">
      <alignment horizontal="center" vertical="center" wrapText="1"/>
      <protection locked="0"/>
    </xf>
    <xf numFmtId="187" fontId="8" fillId="0" borderId="0" xfId="1203" applyNumberFormat="1" applyFont="1" applyFill="1" applyBorder="1" applyAlignment="1" applyProtection="1">
      <alignment horizontal="center" vertical="center" wrapText="1"/>
      <protection locked="0"/>
    </xf>
    <xf numFmtId="0" fontId="114" fillId="0" borderId="0" xfId="0" applyFont="1" applyFill="1" applyProtection="1"/>
    <xf numFmtId="0" fontId="113" fillId="0" borderId="0" xfId="0" applyFont="1" applyProtection="1"/>
    <xf numFmtId="0" fontId="132" fillId="0" borderId="0" xfId="0" applyFont="1" applyAlignment="1" applyProtection="1">
      <protection locked="0"/>
    </xf>
    <xf numFmtId="0" fontId="114" fillId="5" borderId="1" xfId="0" applyFont="1" applyFill="1" applyBorder="1" applyAlignment="1" applyProtection="1">
      <alignment horizontal="center"/>
    </xf>
    <xf numFmtId="0" fontId="114" fillId="5" borderId="1" xfId="0" applyFont="1" applyFill="1" applyBorder="1" applyProtection="1"/>
    <xf numFmtId="4" fontId="114" fillId="5" borderId="1" xfId="0" applyNumberFormat="1" applyFont="1" applyFill="1" applyBorder="1" applyAlignment="1" applyProtection="1">
      <alignment horizontal="center"/>
    </xf>
    <xf numFmtId="0" fontId="110" fillId="0" borderId="0" xfId="0" applyFont="1" applyAlignment="1" applyProtection="1">
      <alignment vertical="center" wrapText="1"/>
      <protection locked="0"/>
    </xf>
    <xf numFmtId="0" fontId="110" fillId="0" borderId="0" xfId="0" applyFont="1" applyAlignment="1" applyProtection="1">
      <protection locked="0"/>
    </xf>
    <xf numFmtId="2" fontId="93" fillId="0" borderId="0" xfId="0" applyNumberFormat="1" applyFont="1" applyAlignment="1" applyProtection="1">
      <protection locked="0"/>
    </xf>
    <xf numFmtId="49" fontId="95" fillId="0" borderId="0" xfId="0" applyNumberFormat="1" applyFont="1" applyProtection="1">
      <protection locked="0"/>
    </xf>
    <xf numFmtId="1" fontId="7" fillId="5" borderId="26" xfId="1203" applyNumberFormat="1" applyFont="1" applyFill="1" applyBorder="1" applyAlignment="1" applyProtection="1">
      <alignment horizontal="center" vertical="center" wrapText="1"/>
      <protection locked="0"/>
    </xf>
    <xf numFmtId="4" fontId="7" fillId="52" borderId="1" xfId="1169" applyNumberFormat="1" applyFont="1" applyFill="1" applyBorder="1" applyAlignment="1" applyProtection="1">
      <alignment horizontal="center" vertical="center"/>
      <protection locked="0"/>
    </xf>
    <xf numFmtId="4" fontId="7" fillId="57" borderId="1" xfId="1203" applyNumberFormat="1" applyFont="1" applyFill="1" applyBorder="1" applyAlignment="1" applyProtection="1">
      <alignment horizontal="center" vertical="center" wrapText="1"/>
      <protection locked="0"/>
    </xf>
    <xf numFmtId="4" fontId="8" fillId="6" borderId="1" xfId="3" applyNumberFormat="1" applyFont="1" applyFill="1" applyBorder="1" applyAlignment="1" applyProtection="1">
      <alignment horizontal="left" vertical="center" wrapText="1"/>
      <protection locked="0"/>
    </xf>
    <xf numFmtId="4" fontId="8" fillId="57" borderId="1" xfId="3" applyNumberFormat="1" applyFont="1" applyFill="1" applyBorder="1" applyAlignment="1" applyProtection="1">
      <alignment horizontal="left" vertical="center" wrapText="1"/>
      <protection locked="0"/>
    </xf>
    <xf numFmtId="4" fontId="7" fillId="6" borderId="0" xfId="3" applyNumberFormat="1" applyFont="1" applyFill="1" applyBorder="1" applyAlignment="1" applyProtection="1">
      <alignment horizontal="center" vertical="center" wrapText="1"/>
      <protection locked="0"/>
    </xf>
    <xf numFmtId="4" fontId="7" fillId="57" borderId="1" xfId="3" applyNumberFormat="1" applyFont="1" applyFill="1" applyBorder="1" applyAlignment="1" applyProtection="1">
      <alignment horizontal="center" vertical="center" wrapText="1"/>
      <protection locked="0"/>
    </xf>
    <xf numFmtId="0" fontId="149" fillId="0" borderId="76" xfId="1169" applyFont="1" applyBorder="1" applyAlignment="1" applyProtection="1">
      <alignment horizontal="center" vertical="center" wrapText="1"/>
      <protection locked="0"/>
    </xf>
    <xf numFmtId="4" fontId="126" fillId="52" borderId="1" xfId="3" applyNumberFormat="1" applyFont="1" applyFill="1" applyBorder="1" applyAlignment="1" applyProtection="1">
      <alignment horizontal="left" vertical="center" wrapText="1"/>
      <protection locked="0"/>
    </xf>
    <xf numFmtId="4" fontId="7" fillId="52" borderId="1" xfId="3" applyNumberFormat="1" applyFont="1" applyFill="1" applyBorder="1" applyAlignment="1" applyProtection="1">
      <alignment horizontal="center" vertical="center" wrapText="1"/>
      <protection locked="0"/>
    </xf>
    <xf numFmtId="4" fontId="7" fillId="57" borderId="81" xfId="3" applyNumberFormat="1" applyFont="1" applyFill="1" applyBorder="1" applyAlignment="1" applyProtection="1">
      <alignment horizontal="center" vertical="center" wrapText="1"/>
      <protection locked="0"/>
    </xf>
    <xf numFmtId="2" fontId="93" fillId="0" borderId="0" xfId="0" applyNumberFormat="1" applyFont="1" applyAlignment="1" applyProtection="1">
      <alignment wrapText="1"/>
      <protection locked="0"/>
    </xf>
    <xf numFmtId="49" fontId="106" fillId="5" borderId="26" xfId="0" applyNumberFormat="1" applyFont="1" applyFill="1" applyBorder="1" applyAlignment="1" applyProtection="1">
      <alignment vertical="center"/>
    </xf>
    <xf numFmtId="49" fontId="8" fillId="5" borderId="1" xfId="1203" applyNumberFormat="1" applyFont="1" applyFill="1" applyBorder="1" applyAlignment="1" applyProtection="1">
      <alignment vertical="center" wrapText="1"/>
      <protection locked="0"/>
    </xf>
    <xf numFmtId="1" fontId="88" fillId="5" borderId="1" xfId="1203" applyNumberFormat="1" applyFont="1" applyFill="1" applyBorder="1" applyAlignment="1" applyProtection="1">
      <alignment horizontal="center" vertical="center" wrapText="1"/>
    </xf>
    <xf numFmtId="4" fontId="132" fillId="5" borderId="1" xfId="0" applyNumberFormat="1" applyFont="1" applyFill="1" applyBorder="1" applyAlignment="1" applyProtection="1">
      <alignment horizontal="center" vertical="center"/>
    </xf>
    <xf numFmtId="4" fontId="114" fillId="0" borderId="0" xfId="0" applyNumberFormat="1" applyFont="1" applyProtection="1"/>
    <xf numFmtId="0" fontId="114" fillId="5" borderId="81" xfId="0" applyFont="1" applyFill="1" applyBorder="1" applyProtection="1"/>
    <xf numFmtId="191" fontId="5" fillId="5" borderId="1" xfId="1169" applyNumberFormat="1" applyFont="1" applyFill="1" applyBorder="1" applyAlignment="1" applyProtection="1">
      <alignment horizontal="center" vertical="center" wrapText="1"/>
    </xf>
    <xf numFmtId="0" fontId="5" fillId="5" borderId="1" xfId="1169" applyFont="1" applyFill="1" applyBorder="1" applyAlignment="1" applyProtection="1">
      <alignment horizontal="center" vertical="center" wrapText="1"/>
    </xf>
    <xf numFmtId="0" fontId="6" fillId="5" borderId="1" xfId="1169" applyFont="1" applyFill="1" applyBorder="1" applyAlignment="1" applyProtection="1">
      <alignment vertical="center" wrapText="1"/>
    </xf>
    <xf numFmtId="0" fontId="5" fillId="5" borderId="1" xfId="1169" applyFont="1" applyFill="1" applyBorder="1" applyAlignment="1" applyProtection="1">
      <alignment horizontal="left" vertical="center" wrapText="1" indent="2"/>
    </xf>
    <xf numFmtId="0" fontId="5" fillId="5" borderId="1" xfId="1169" applyFont="1" applyFill="1" applyBorder="1" applyAlignment="1" applyProtection="1">
      <alignment horizontal="left" vertical="center" wrapText="1" indent="4"/>
    </xf>
    <xf numFmtId="0" fontId="5" fillId="5" borderId="1" xfId="1169" applyFont="1" applyFill="1" applyBorder="1" applyAlignment="1" applyProtection="1">
      <alignment horizontal="center"/>
    </xf>
    <xf numFmtId="0" fontId="6" fillId="5" borderId="1" xfId="1169" applyFont="1" applyFill="1" applyBorder="1" applyAlignment="1" applyProtection="1">
      <alignment horizontal="center"/>
    </xf>
    <xf numFmtId="0" fontId="148" fillId="5" borderId="75" xfId="1169" applyFont="1" applyFill="1" applyBorder="1" applyAlignment="1" applyProtection="1">
      <alignment horizontal="center" vertical="center" wrapText="1"/>
    </xf>
    <xf numFmtId="0" fontId="114" fillId="5" borderId="35" xfId="0" applyFont="1" applyFill="1" applyBorder="1" applyProtection="1"/>
    <xf numFmtId="0" fontId="149" fillId="5" borderId="76" xfId="1169" applyFont="1" applyFill="1" applyBorder="1" applyAlignment="1" applyProtection="1">
      <alignment horizontal="center" vertical="center" wrapText="1"/>
    </xf>
    <xf numFmtId="0" fontId="5" fillId="0" borderId="0" xfId="0" applyFont="1" applyFill="1" applyBorder="1" applyAlignment="1" applyProtection="1">
      <alignment vertical="center"/>
      <protection locked="0"/>
    </xf>
    <xf numFmtId="0" fontId="116" fillId="0" borderId="0" xfId="0" applyFont="1" applyFill="1" applyBorder="1" applyAlignment="1" applyProtection="1">
      <alignment horizontal="center" vertical="center"/>
      <protection locked="0"/>
    </xf>
    <xf numFmtId="0" fontId="102" fillId="0" borderId="0" xfId="0" applyFont="1" applyFill="1" applyBorder="1" applyAlignment="1" applyProtection="1">
      <alignment vertical="center"/>
      <protection locked="0"/>
    </xf>
    <xf numFmtId="4" fontId="7" fillId="6" borderId="81" xfId="1204" applyNumberFormat="1" applyFont="1" applyFill="1" applyBorder="1" applyAlignment="1" applyProtection="1">
      <alignment horizontal="center" vertical="center"/>
      <protection locked="0"/>
    </xf>
    <xf numFmtId="4" fontId="7" fillId="0" borderId="0" xfId="1204" applyNumberFormat="1" applyFont="1" applyFill="1" applyBorder="1" applyAlignment="1" applyProtection="1">
      <alignment horizontal="center" vertical="center"/>
      <protection locked="0"/>
    </xf>
    <xf numFmtId="0" fontId="7" fillId="52" borderId="81" xfId="0" applyFont="1" applyFill="1" applyBorder="1" applyAlignment="1" applyProtection="1">
      <alignment horizontal="center" vertical="center"/>
      <protection locked="0"/>
    </xf>
    <xf numFmtId="4" fontId="7" fillId="52" borderId="81" xfId="1204" applyNumberFormat="1" applyFont="1" applyFill="1" applyBorder="1" applyAlignment="1" applyProtection="1">
      <alignment horizontal="center" vertical="center"/>
      <protection locked="0"/>
    </xf>
    <xf numFmtId="4" fontId="131" fillId="6" borderId="1" xfId="0" applyNumberFormat="1" applyFont="1" applyFill="1" applyBorder="1" applyAlignment="1" applyProtection="1">
      <alignment horizontal="center" vertical="center"/>
      <protection locked="0"/>
    </xf>
    <xf numFmtId="0" fontId="95" fillId="0" borderId="0" xfId="0" applyFont="1" applyAlignment="1" applyProtection="1">
      <alignment horizontal="center"/>
      <protection locked="0"/>
    </xf>
    <xf numFmtId="3" fontId="93" fillId="0" borderId="0" xfId="1203" applyNumberFormat="1" applyFont="1" applyFill="1" applyBorder="1" applyAlignment="1" applyProtection="1">
      <protection locked="0"/>
    </xf>
    <xf numFmtId="3" fontId="8" fillId="0" borderId="0" xfId="1203" applyNumberFormat="1" applyFont="1" applyFill="1" applyBorder="1" applyAlignment="1" applyProtection="1">
      <alignment wrapText="1"/>
      <protection locked="0"/>
    </xf>
    <xf numFmtId="1" fontId="8" fillId="0" borderId="0" xfId="1203" applyNumberFormat="1" applyFont="1" applyFill="1" applyBorder="1" applyAlignment="1" applyProtection="1">
      <alignment horizontal="left" vertical="center"/>
      <protection locked="0"/>
    </xf>
    <xf numFmtId="0" fontId="7" fillId="0" borderId="0" xfId="1203" applyFont="1" applyBorder="1" applyAlignment="1" applyProtection="1">
      <alignment vertical="top" wrapText="1"/>
      <protection locked="0"/>
    </xf>
    <xf numFmtId="4" fontId="7" fillId="0" borderId="0" xfId="1203" applyNumberFormat="1" applyFont="1" applyBorder="1" applyAlignment="1" applyProtection="1">
      <alignment horizontal="center" vertical="top" wrapText="1"/>
      <protection locked="0"/>
    </xf>
    <xf numFmtId="1" fontId="93" fillId="0" borderId="0" xfId="1203" applyNumberFormat="1" applyFont="1" applyFill="1" applyBorder="1" applyAlignment="1" applyProtection="1">
      <alignment vertical="center" wrapText="1"/>
      <protection locked="0"/>
    </xf>
    <xf numFmtId="0" fontId="99" fillId="0" borderId="0" xfId="1203" applyFont="1" applyFill="1" applyBorder="1" applyAlignment="1" applyProtection="1">
      <alignment vertical="center" wrapText="1"/>
      <protection locked="0"/>
    </xf>
    <xf numFmtId="1" fontId="8" fillId="0" borderId="0" xfId="1203" applyNumberFormat="1" applyFont="1" applyFill="1" applyBorder="1" applyAlignment="1" applyProtection="1">
      <alignment vertical="center" wrapText="1"/>
      <protection locked="0"/>
    </xf>
    <xf numFmtId="3" fontId="97" fillId="0" borderId="0" xfId="1203" applyNumberFormat="1" applyFont="1" applyFill="1" applyBorder="1" applyAlignment="1" applyProtection="1">
      <alignment vertical="center" wrapText="1"/>
      <protection locked="0"/>
    </xf>
    <xf numFmtId="3" fontId="97" fillId="0" borderId="0" xfId="1203" applyNumberFormat="1" applyFont="1" applyFill="1" applyBorder="1" applyAlignment="1" applyProtection="1">
      <alignment vertical="center" wrapText="1"/>
    </xf>
    <xf numFmtId="2" fontId="7" fillId="0" borderId="0" xfId="1203" applyNumberFormat="1" applyFont="1" applyFill="1" applyBorder="1" applyAlignment="1" applyProtection="1">
      <alignment horizontal="center" vertical="center" wrapText="1"/>
    </xf>
    <xf numFmtId="0" fontId="117" fillId="0" borderId="0" xfId="1203" applyFont="1" applyFill="1" applyBorder="1" applyAlignment="1" applyProtection="1">
      <alignment vertical="top" wrapText="1"/>
    </xf>
    <xf numFmtId="0" fontId="7" fillId="0" borderId="0" xfId="1203" applyFont="1" applyAlignment="1" applyProtection="1">
      <alignment horizontal="right" vertical="top" wrapText="1"/>
    </xf>
    <xf numFmtId="0" fontId="93" fillId="0" borderId="0" xfId="1203" applyFont="1" applyAlignment="1" applyProtection="1">
      <alignment horizontal="center" vertical="top" wrapText="1"/>
    </xf>
    <xf numFmtId="4" fontId="123" fillId="52" borderId="1" xfId="1203" applyNumberFormat="1" applyFont="1" applyFill="1" applyBorder="1" applyAlignment="1" applyProtection="1">
      <alignment vertical="center" wrapText="1"/>
      <protection locked="0"/>
    </xf>
    <xf numFmtId="0" fontId="8" fillId="6" borderId="1" xfId="1203" applyFont="1" applyFill="1" applyBorder="1" applyAlignment="1" applyProtection="1">
      <alignment horizontal="center" vertical="center" wrapText="1"/>
      <protection locked="0"/>
    </xf>
    <xf numFmtId="0" fontId="120" fillId="0" borderId="0" xfId="1169" applyFont="1" applyProtection="1"/>
    <xf numFmtId="4" fontId="93" fillId="0" borderId="0" xfId="1169" applyNumberFormat="1" applyFont="1" applyAlignment="1" applyProtection="1">
      <alignment horizontal="center"/>
    </xf>
    <xf numFmtId="0" fontId="7" fillId="52" borderId="1" xfId="1169" applyNumberFormat="1" applyFont="1" applyFill="1" applyBorder="1" applyAlignment="1" applyProtection="1">
      <alignment horizontal="center" wrapText="1"/>
      <protection locked="0"/>
    </xf>
    <xf numFmtId="0" fontId="7" fillId="52" borderId="1" xfId="1169" applyNumberFormat="1" applyFont="1" applyFill="1" applyBorder="1" applyAlignment="1" applyProtection="1">
      <alignment horizontal="center" wrapText="1"/>
    </xf>
    <xf numFmtId="4" fontId="95" fillId="0" borderId="0" xfId="1169" applyNumberFormat="1" applyFont="1" applyAlignment="1" applyProtection="1">
      <alignment horizontal="center"/>
    </xf>
    <xf numFmtId="0" fontId="7" fillId="0" borderId="0" xfId="1169" applyFont="1" applyAlignment="1" applyProtection="1">
      <alignment vertical="top"/>
      <protection locked="0"/>
    </xf>
    <xf numFmtId="1" fontId="93" fillId="0" borderId="0" xfId="1169" applyNumberFormat="1" applyFont="1" applyFill="1" applyAlignment="1" applyProtection="1">
      <alignment vertical="center"/>
      <protection locked="0"/>
    </xf>
    <xf numFmtId="0" fontId="148" fillId="0" borderId="0" xfId="1169" applyFont="1" applyAlignment="1" applyProtection="1">
      <alignment vertical="center" wrapText="1"/>
      <protection locked="0"/>
    </xf>
    <xf numFmtId="0" fontId="148" fillId="0" borderId="0" xfId="1169" applyFont="1" applyAlignment="1" applyProtection="1">
      <alignment horizontal="center" vertical="center" wrapText="1"/>
      <protection locked="0"/>
    </xf>
    <xf numFmtId="0" fontId="148" fillId="0" borderId="0" xfId="1169" applyFont="1" applyBorder="1" applyAlignment="1" applyProtection="1">
      <alignment horizontal="center" vertical="center" wrapText="1"/>
      <protection locked="0"/>
    </xf>
    <xf numFmtId="0" fontId="150" fillId="0" borderId="0" xfId="1169" applyFont="1" applyBorder="1" applyAlignment="1" applyProtection="1">
      <alignment horizontal="left" vertical="center" wrapText="1" indent="2"/>
      <protection locked="0"/>
    </xf>
    <xf numFmtId="0" fontId="150" fillId="0" borderId="0" xfId="1169" applyFont="1" applyBorder="1" applyAlignment="1" applyProtection="1">
      <alignment horizontal="center"/>
      <protection locked="0"/>
    </xf>
    <xf numFmtId="0" fontId="150" fillId="0" borderId="0" xfId="1169" applyFont="1" applyBorder="1" applyProtection="1">
      <protection locked="0"/>
    </xf>
    <xf numFmtId="0" fontId="5" fillId="5" borderId="1" xfId="1169" applyFont="1" applyFill="1" applyBorder="1" applyProtection="1"/>
    <xf numFmtId="0" fontId="5" fillId="5" borderId="1" xfId="1169" applyFont="1" applyFill="1" applyBorder="1" applyAlignment="1" applyProtection="1">
      <alignment vertical="center" wrapText="1"/>
    </xf>
    <xf numFmtId="0" fontId="158" fillId="0" borderId="0" xfId="1203" applyFont="1" applyFill="1" applyBorder="1" applyAlignment="1" applyProtection="1">
      <alignment vertical="center"/>
      <protection locked="0"/>
    </xf>
    <xf numFmtId="0" fontId="158" fillId="0" borderId="0" xfId="1203" applyFont="1" applyFill="1" applyBorder="1" applyAlignment="1" applyProtection="1">
      <alignment horizontal="center" vertical="center"/>
      <protection locked="0"/>
    </xf>
    <xf numFmtId="1" fontId="160" fillId="0" borderId="0" xfId="1203" applyNumberFormat="1" applyFont="1" applyFill="1" applyAlignment="1" applyProtection="1">
      <protection locked="0"/>
    </xf>
    <xf numFmtId="0" fontId="93" fillId="0" borderId="0" xfId="1169" applyFont="1" applyFill="1" applyBorder="1" applyAlignment="1" applyProtection="1">
      <alignment horizontal="center" wrapText="1"/>
      <protection locked="0"/>
    </xf>
    <xf numFmtId="0" fontId="159" fillId="0" borderId="0" xfId="1203" applyFont="1" applyFill="1" applyAlignment="1" applyProtection="1">
      <alignment horizontal="center" vertical="center" wrapText="1"/>
      <protection locked="0"/>
    </xf>
    <xf numFmtId="4" fontId="127" fillId="52" borderId="1" xfId="1450" applyNumberFormat="1" applyFont="1" applyFill="1" applyBorder="1" applyAlignment="1" applyProtection="1">
      <alignment horizontal="center" vertical="center"/>
      <protection locked="0"/>
    </xf>
    <xf numFmtId="3" fontId="90" fillId="5" borderId="1" xfId="1450" applyNumberFormat="1" applyFont="1" applyFill="1" applyBorder="1" applyAlignment="1" applyProtection="1">
      <alignment horizontal="center" vertical="center"/>
      <protection locked="0"/>
    </xf>
    <xf numFmtId="4" fontId="127" fillId="52" borderId="1" xfId="1450" applyNumberFormat="1" applyFont="1" applyFill="1" applyBorder="1" applyAlignment="1" applyProtection="1">
      <alignment horizontal="center" vertical="center" wrapText="1"/>
      <protection locked="0"/>
    </xf>
    <xf numFmtId="4" fontId="128" fillId="52" borderId="1" xfId="1450" applyNumberFormat="1" applyFont="1" applyFill="1" applyBorder="1" applyAlignment="1" applyProtection="1">
      <alignment horizontal="center" vertical="center" wrapText="1"/>
      <protection locked="0"/>
    </xf>
    <xf numFmtId="3" fontId="0" fillId="5" borderId="1" xfId="1450" applyNumberFormat="1" applyFont="1" applyFill="1" applyBorder="1" applyAlignment="1" applyProtection="1">
      <alignment horizontal="center" vertical="center"/>
      <protection locked="0"/>
    </xf>
    <xf numFmtId="4" fontId="8" fillId="52" borderId="1" xfId="1450" applyNumberFormat="1" applyFont="1" applyFill="1" applyBorder="1" applyAlignment="1" applyProtection="1">
      <alignment horizontal="center" vertical="center"/>
      <protection locked="0"/>
    </xf>
    <xf numFmtId="2" fontId="106" fillId="52" borderId="1" xfId="1450" applyNumberFormat="1" applyFont="1" applyFill="1" applyBorder="1" applyAlignment="1" applyProtection="1">
      <alignment horizontal="center" vertical="center"/>
      <protection locked="0"/>
    </xf>
    <xf numFmtId="4" fontId="106" fillId="52" borderId="1" xfId="1450" applyNumberFormat="1" applyFont="1" applyFill="1" applyBorder="1" applyAlignment="1" applyProtection="1">
      <alignment horizontal="center" vertical="center" wrapText="1"/>
      <protection locked="0"/>
    </xf>
    <xf numFmtId="0" fontId="8" fillId="0" borderId="0" xfId="1450" applyFont="1" applyFill="1" applyBorder="1" applyAlignment="1" applyProtection="1">
      <alignment horizontal="center" vertical="center"/>
      <protection locked="0"/>
    </xf>
    <xf numFmtId="0" fontId="106" fillId="0" borderId="0" xfId="1450" applyFont="1" applyFill="1" applyBorder="1" applyAlignment="1" applyProtection="1">
      <alignment horizontal="left"/>
      <protection locked="0"/>
    </xf>
    <xf numFmtId="4" fontId="127" fillId="0" borderId="0" xfId="1450" applyNumberFormat="1" applyFont="1" applyFill="1" applyBorder="1" applyAlignment="1" applyProtection="1">
      <alignment horizontal="center" vertical="center" wrapText="1"/>
      <protection locked="0"/>
    </xf>
    <xf numFmtId="4" fontId="7" fillId="52" borderId="1" xfId="1440" applyNumberFormat="1" applyFont="1" applyFill="1" applyBorder="1" applyAlignment="1" applyProtection="1">
      <alignment horizontal="center" vertical="center" wrapText="1"/>
      <protection locked="0"/>
    </xf>
    <xf numFmtId="4" fontId="7" fillId="6" borderId="1" xfId="1440" applyNumberFormat="1" applyFont="1" applyFill="1" applyBorder="1" applyAlignment="1" applyProtection="1">
      <alignment horizontal="center" vertical="center" wrapText="1"/>
      <protection locked="0"/>
    </xf>
    <xf numFmtId="0" fontId="7" fillId="0" borderId="0" xfId="1440" applyFont="1" applyFill="1" applyBorder="1" applyAlignment="1" applyProtection="1">
      <alignment horizontal="center" vertical="center" wrapText="1"/>
      <protection locked="0"/>
    </xf>
    <xf numFmtId="0" fontId="7" fillId="0" borderId="0" xfId="1440" applyFont="1" applyFill="1" applyBorder="1" applyAlignment="1" applyProtection="1">
      <alignment horizontal="left" vertical="center" wrapText="1"/>
      <protection locked="0"/>
    </xf>
    <xf numFmtId="2" fontId="7" fillId="0" borderId="0" xfId="1440" applyNumberFormat="1" applyFont="1" applyFill="1" applyBorder="1" applyAlignment="1" applyProtection="1">
      <alignment horizontal="center" vertical="center" wrapText="1"/>
      <protection locked="0"/>
    </xf>
    <xf numFmtId="0" fontId="8" fillId="0" borderId="0" xfId="1440" applyFont="1" applyFill="1" applyBorder="1" applyAlignment="1" applyProtection="1">
      <alignment vertical="center" wrapText="1"/>
      <protection locked="0"/>
    </xf>
    <xf numFmtId="4" fontId="8" fillId="52" borderId="1" xfId="1169" applyNumberFormat="1" applyFont="1" applyFill="1" applyBorder="1" applyAlignment="1" applyProtection="1">
      <alignment horizontal="center" vertical="center"/>
      <protection locked="0"/>
    </xf>
    <xf numFmtId="4" fontId="108" fillId="52" borderId="1" xfId="1169" applyNumberFormat="1" applyFont="1" applyFill="1" applyBorder="1" applyAlignment="1" applyProtection="1">
      <alignment horizontal="center" vertical="center"/>
      <protection locked="0"/>
    </xf>
    <xf numFmtId="4" fontId="7" fillId="0" borderId="0" xfId="1169" applyNumberFormat="1" applyProtection="1">
      <protection locked="0"/>
    </xf>
    <xf numFmtId="0" fontId="163" fillId="0" borderId="0" xfId="1169" applyFont="1" applyProtection="1">
      <protection locked="0"/>
    </xf>
    <xf numFmtId="3" fontId="160" fillId="52" borderId="1" xfId="1169" applyNumberFormat="1" applyFont="1" applyFill="1" applyBorder="1" applyAlignment="1" applyProtection="1">
      <alignment horizontal="center" vertical="center" wrapText="1"/>
      <protection locked="0"/>
    </xf>
    <xf numFmtId="3" fontId="160" fillId="52" borderId="26" xfId="1169" applyNumberFormat="1" applyFont="1" applyFill="1" applyBorder="1" applyAlignment="1" applyProtection="1">
      <alignment vertical="center"/>
      <protection locked="0"/>
    </xf>
    <xf numFmtId="0" fontId="160" fillId="52" borderId="1" xfId="1169" applyFont="1" applyFill="1" applyBorder="1" applyAlignment="1" applyProtection="1">
      <alignment horizontal="center" vertical="center" wrapText="1"/>
      <protection locked="0"/>
    </xf>
    <xf numFmtId="3" fontId="160" fillId="3" borderId="26" xfId="1169" applyNumberFormat="1" applyFont="1" applyFill="1" applyBorder="1" applyAlignment="1" applyProtection="1">
      <alignment vertical="center" wrapText="1"/>
    </xf>
    <xf numFmtId="3" fontId="160" fillId="3" borderId="1" xfId="1169" applyNumberFormat="1" applyFont="1" applyFill="1" applyBorder="1" applyAlignment="1" applyProtection="1">
      <alignment horizontal="left" vertical="center"/>
    </xf>
    <xf numFmtId="1" fontId="160" fillId="3" borderId="1" xfId="1169" applyNumberFormat="1" applyFont="1" applyFill="1" applyBorder="1" applyAlignment="1" applyProtection="1">
      <alignment horizontal="left" vertical="center"/>
    </xf>
    <xf numFmtId="0" fontId="160" fillId="3" borderId="26" xfId="1169" applyFont="1" applyFill="1" applyBorder="1" applyAlignment="1" applyProtection="1">
      <alignment vertical="center" wrapText="1"/>
    </xf>
    <xf numFmtId="0" fontId="160" fillId="3" borderId="5" xfId="1169" applyFont="1" applyFill="1" applyBorder="1" applyAlignment="1" applyProtection="1">
      <alignment vertical="center" wrapText="1"/>
    </xf>
    <xf numFmtId="0" fontId="160" fillId="3" borderId="27" xfId="1169" applyFont="1" applyFill="1" applyBorder="1" applyAlignment="1" applyProtection="1">
      <alignment vertical="center" wrapText="1"/>
    </xf>
    <xf numFmtId="0" fontId="2" fillId="0" borderId="1" xfId="0" applyFont="1" applyBorder="1" applyProtection="1">
      <protection locked="0"/>
    </xf>
    <xf numFmtId="0" fontId="191" fillId="0" borderId="1" xfId="0" applyFont="1" applyBorder="1" applyProtection="1">
      <protection locked="0"/>
    </xf>
    <xf numFmtId="4" fontId="8" fillId="55" borderId="1" xfId="3" applyNumberFormat="1" applyFont="1" applyFill="1" applyBorder="1" applyAlignment="1" applyProtection="1">
      <alignment horizontal="left" vertical="center" wrapText="1"/>
      <protection locked="0"/>
    </xf>
    <xf numFmtId="4" fontId="8" fillId="55" borderId="1" xfId="0" applyNumberFormat="1" applyFont="1" applyFill="1" applyBorder="1" applyAlignment="1" applyProtection="1">
      <alignment horizontal="center"/>
      <protection locked="0"/>
    </xf>
    <xf numFmtId="0" fontId="134" fillId="0" borderId="0" xfId="3" applyFont="1" applyAlignment="1" applyProtection="1">
      <alignment horizontal="right"/>
      <protection locked="0"/>
    </xf>
    <xf numFmtId="49" fontId="6" fillId="5" borderId="21" xfId="1203" applyNumberFormat="1" applyFont="1" applyFill="1" applyBorder="1" applyAlignment="1" applyProtection="1">
      <alignment horizontal="center" vertical="center" wrapText="1"/>
    </xf>
    <xf numFmtId="0" fontId="2" fillId="0" borderId="0" xfId="0" applyFont="1" applyProtection="1"/>
    <xf numFmtId="0" fontId="3" fillId="5" borderId="81" xfId="0" applyFont="1" applyFill="1" applyBorder="1" applyAlignment="1" applyProtection="1">
      <alignment horizontal="left" wrapText="1"/>
    </xf>
    <xf numFmtId="0" fontId="0" fillId="5" borderId="81" xfId="0" applyFill="1" applyBorder="1" applyAlignment="1" applyProtection="1">
      <alignment horizontal="center" vertical="center"/>
    </xf>
    <xf numFmtId="4" fontId="0" fillId="5" borderId="81" xfId="0" applyNumberFormat="1" applyFill="1" applyBorder="1" applyAlignment="1" applyProtection="1">
      <alignment horizontal="right"/>
    </xf>
    <xf numFmtId="0" fontId="0" fillId="5" borderId="81" xfId="0" applyFill="1" applyBorder="1" applyAlignment="1" applyProtection="1">
      <alignment horizontal="right"/>
    </xf>
    <xf numFmtId="0" fontId="3" fillId="5" borderId="81" xfId="0" applyFont="1" applyFill="1" applyBorder="1" applyProtection="1"/>
    <xf numFmtId="4" fontId="3" fillId="5" borderId="81" xfId="0" applyNumberFormat="1" applyFont="1" applyFill="1" applyBorder="1" applyAlignment="1" applyProtection="1">
      <alignment horizontal="center"/>
    </xf>
    <xf numFmtId="4" fontId="0" fillId="5" borderId="81" xfId="0" applyNumberFormat="1" applyFill="1" applyBorder="1" applyAlignment="1" applyProtection="1">
      <alignment horizontal="center"/>
    </xf>
    <xf numFmtId="4" fontId="0" fillId="5" borderId="81" xfId="0" applyNumberFormat="1" applyFill="1" applyBorder="1" applyAlignment="1" applyProtection="1">
      <alignment horizontal="left"/>
    </xf>
    <xf numFmtId="4" fontId="3" fillId="5" borderId="81" xfId="0" applyNumberFormat="1" applyFont="1" applyFill="1" applyBorder="1" applyAlignment="1" applyProtection="1">
      <alignment horizontal="left"/>
    </xf>
    <xf numFmtId="4" fontId="0" fillId="0" borderId="0" xfId="0" applyNumberFormat="1" applyProtection="1"/>
    <xf numFmtId="4" fontId="113" fillId="0" borderId="1" xfId="0" applyNumberFormat="1" applyFont="1" applyFill="1" applyBorder="1" applyAlignment="1" applyProtection="1">
      <alignment horizontal="center"/>
      <protection locked="0"/>
    </xf>
    <xf numFmtId="4" fontId="131" fillId="6" borderId="1" xfId="0" applyNumberFormat="1" applyFont="1" applyFill="1" applyBorder="1" applyAlignment="1" applyProtection="1">
      <alignment horizontal="center"/>
      <protection locked="0"/>
    </xf>
    <xf numFmtId="4" fontId="113" fillId="6" borderId="1" xfId="0" applyNumberFormat="1" applyFont="1" applyFill="1" applyBorder="1" applyAlignment="1" applyProtection="1">
      <alignment horizontal="center" vertical="center"/>
      <protection locked="0"/>
    </xf>
    <xf numFmtId="0" fontId="8" fillId="0" borderId="0" xfId="1169" applyFont="1" applyFill="1" applyAlignment="1" applyProtection="1"/>
    <xf numFmtId="4" fontId="8" fillId="55" borderId="1" xfId="3" applyNumberFormat="1" applyFont="1" applyFill="1" applyBorder="1" applyAlignment="1" applyProtection="1">
      <alignment horizontal="center" vertical="center" wrapText="1"/>
      <protection locked="0"/>
    </xf>
    <xf numFmtId="4" fontId="8" fillId="52" borderId="1" xfId="0" applyNumberFormat="1" applyFont="1" applyFill="1" applyBorder="1" applyAlignment="1" applyProtection="1">
      <alignment horizontal="center"/>
      <protection locked="0"/>
    </xf>
    <xf numFmtId="4" fontId="102" fillId="52" borderId="1" xfId="0" applyNumberFormat="1" applyFont="1" applyFill="1" applyBorder="1" applyAlignment="1" applyProtection="1">
      <alignment horizontal="center"/>
      <protection locked="0"/>
    </xf>
    <xf numFmtId="187" fontId="8" fillId="55" borderId="1" xfId="0" applyNumberFormat="1" applyFont="1" applyFill="1" applyBorder="1" applyAlignment="1" applyProtection="1">
      <alignment horizontal="center"/>
      <protection locked="0"/>
    </xf>
    <xf numFmtId="0" fontId="5" fillId="0" borderId="0" xfId="1169" applyFont="1" applyProtection="1">
      <protection locked="0"/>
    </xf>
    <xf numFmtId="0" fontId="5" fillId="0" borderId="0" xfId="1169" applyFont="1" applyFill="1" applyProtection="1">
      <protection locked="0"/>
    </xf>
    <xf numFmtId="0" fontId="5" fillId="0" borderId="0" xfId="1169" applyFont="1" applyBorder="1" applyProtection="1">
      <protection locked="0"/>
    </xf>
    <xf numFmtId="14" fontId="7" fillId="0" borderId="0" xfId="1169" applyNumberFormat="1" applyProtection="1">
      <protection locked="0"/>
    </xf>
    <xf numFmtId="197" fontId="7" fillId="0" borderId="0" xfId="1169" applyNumberFormat="1" applyProtection="1">
      <protection locked="0"/>
    </xf>
    <xf numFmtId="14" fontId="116" fillId="0" borderId="5" xfId="1169" applyNumberFormat="1" applyFont="1" applyBorder="1" applyAlignment="1" applyProtection="1">
      <alignment horizontal="center" vertical="center" wrapText="1"/>
      <protection locked="0"/>
    </xf>
    <xf numFmtId="0" fontId="5" fillId="0" borderId="40" xfId="1169" applyFont="1" applyFill="1" applyBorder="1" applyProtection="1">
      <protection locked="0"/>
    </xf>
    <xf numFmtId="0" fontId="144" fillId="52" borderId="0" xfId="1169" applyFont="1" applyFill="1" applyAlignment="1" applyProtection="1">
      <alignment wrapText="1"/>
      <protection locked="0"/>
    </xf>
    <xf numFmtId="14" fontId="143" fillId="52" borderId="41" xfId="1169" applyNumberFormat="1" applyFont="1" applyFill="1" applyBorder="1" applyAlignment="1" applyProtection="1">
      <alignment horizontal="center" vertical="center" wrapText="1"/>
      <protection locked="0"/>
    </xf>
    <xf numFmtId="2" fontId="143" fillId="52" borderId="41" xfId="1169" applyNumberFormat="1" applyFont="1" applyFill="1" applyBorder="1" applyAlignment="1" applyProtection="1">
      <alignment horizontal="center" vertical="center" wrapText="1"/>
      <protection locked="0"/>
    </xf>
    <xf numFmtId="4" fontId="143" fillId="52" borderId="41" xfId="1169" applyNumberFormat="1" applyFont="1" applyFill="1" applyBorder="1" applyAlignment="1" applyProtection="1">
      <alignment horizontal="center" vertical="center" wrapText="1"/>
      <protection locked="0"/>
    </xf>
    <xf numFmtId="4" fontId="131" fillId="6" borderId="1" xfId="0" applyNumberFormat="1" applyFont="1" applyFill="1" applyBorder="1" applyProtection="1">
      <protection locked="0"/>
    </xf>
    <xf numFmtId="4" fontId="157" fillId="6" borderId="1" xfId="0" applyNumberFormat="1" applyFont="1" applyFill="1" applyBorder="1" applyAlignment="1" applyProtection="1">
      <alignment horizontal="center"/>
      <protection locked="0"/>
    </xf>
    <xf numFmtId="4" fontId="157" fillId="6" borderId="1" xfId="0" applyNumberFormat="1" applyFont="1" applyFill="1" applyBorder="1" applyProtection="1">
      <protection locked="0"/>
    </xf>
    <xf numFmtId="0" fontId="106" fillId="5" borderId="1" xfId="1169" applyFont="1" applyFill="1" applyBorder="1" applyAlignment="1" applyProtection="1">
      <alignment horizontal="center" vertical="center" wrapText="1"/>
    </xf>
    <xf numFmtId="0" fontId="7" fillId="5" borderId="1" xfId="1169" applyFont="1" applyFill="1" applyBorder="1" applyAlignment="1" applyProtection="1">
      <alignment horizontal="left" vertical="center" wrapText="1"/>
    </xf>
    <xf numFmtId="1" fontId="8" fillId="5" borderId="1" xfId="1203" applyNumberFormat="1" applyFont="1" applyFill="1" applyBorder="1" applyAlignment="1" applyProtection="1">
      <alignment horizontal="center" vertical="center" wrapText="1"/>
    </xf>
    <xf numFmtId="0" fontId="8" fillId="5" borderId="1" xfId="1203" applyFont="1" applyFill="1" applyBorder="1" applyAlignment="1" applyProtection="1">
      <alignment horizontal="center" vertical="center" wrapText="1"/>
    </xf>
    <xf numFmtId="0" fontId="7" fillId="5" borderId="1" xfId="1169" applyFont="1" applyFill="1" applyBorder="1" applyAlignment="1" applyProtection="1">
      <alignment horizontal="center" vertical="center" wrapText="1"/>
    </xf>
    <xf numFmtId="49" fontId="8" fillId="5" borderId="1" xfId="1203" applyNumberFormat="1" applyFont="1" applyFill="1" applyBorder="1" applyAlignment="1" applyProtection="1">
      <alignment horizontal="center" vertical="center" wrapText="1"/>
    </xf>
    <xf numFmtId="0" fontId="8" fillId="5" borderId="1" xfId="1169" applyFont="1" applyFill="1" applyBorder="1" applyAlignment="1" applyProtection="1">
      <alignment horizontal="center" vertical="center" wrapText="1"/>
    </xf>
    <xf numFmtId="0" fontId="8" fillId="5" borderId="1" xfId="1440" applyFont="1" applyFill="1" applyBorder="1" applyAlignment="1" applyProtection="1">
      <alignment horizontal="center" vertical="center" wrapText="1"/>
    </xf>
    <xf numFmtId="0" fontId="160" fillId="5" borderId="21" xfId="1203" applyFont="1" applyFill="1" applyBorder="1" applyAlignment="1" applyProtection="1">
      <alignment horizontal="center" vertical="center" wrapText="1"/>
    </xf>
    <xf numFmtId="0" fontId="8" fillId="5" borderId="21" xfId="1169" applyFont="1" applyFill="1" applyBorder="1" applyAlignment="1" applyProtection="1">
      <alignment horizontal="center" vertical="center" wrapText="1"/>
    </xf>
    <xf numFmtId="1" fontId="160" fillId="5" borderId="21" xfId="1203" applyNumberFormat="1" applyFont="1" applyFill="1" applyBorder="1" applyAlignment="1" applyProtection="1">
      <alignment horizontal="center" vertical="center" wrapText="1"/>
    </xf>
    <xf numFmtId="0" fontId="160" fillId="5" borderId="1" xfId="1169" applyFont="1" applyFill="1" applyBorder="1" applyAlignment="1" applyProtection="1">
      <alignment horizontal="center" vertical="center" wrapText="1"/>
    </xf>
    <xf numFmtId="0" fontId="98" fillId="3" borderId="1" xfId="1169" applyFont="1" applyFill="1" applyBorder="1" applyAlignment="1" applyProtection="1">
      <alignment horizontal="center" vertical="center" wrapText="1"/>
    </xf>
    <xf numFmtId="0" fontId="7" fillId="48" borderId="81" xfId="1169" applyNumberFormat="1" applyFont="1" applyFill="1" applyBorder="1" applyAlignment="1" applyProtection="1">
      <alignment horizontal="center" wrapText="1"/>
      <protection locked="0"/>
    </xf>
    <xf numFmtId="4" fontId="7" fillId="48" borderId="81" xfId="1169" applyNumberFormat="1" applyFont="1" applyFill="1" applyBorder="1" applyAlignment="1" applyProtection="1">
      <alignment horizontal="center" wrapText="1"/>
      <protection locked="0"/>
    </xf>
    <xf numFmtId="4" fontId="7" fillId="52" borderId="81" xfId="1169" applyNumberFormat="1" applyFont="1" applyFill="1" applyBorder="1" applyAlignment="1" applyProtection="1">
      <alignment horizontal="center" wrapText="1"/>
      <protection locked="0"/>
    </xf>
    <xf numFmtId="4" fontId="7" fillId="52" borderId="81" xfId="1169" applyNumberFormat="1" applyFont="1" applyFill="1" applyBorder="1" applyAlignment="1" applyProtection="1">
      <alignment horizontal="center"/>
      <protection locked="0"/>
    </xf>
    <xf numFmtId="4" fontId="7" fillId="3" borderId="1" xfId="1169" applyNumberFormat="1" applyFont="1" applyFill="1" applyBorder="1" applyAlignment="1" applyProtection="1">
      <alignment horizontal="center"/>
      <protection locked="0"/>
    </xf>
    <xf numFmtId="4" fontId="0" fillId="5" borderId="1" xfId="0" applyNumberFormat="1" applyFill="1" applyBorder="1" applyProtection="1">
      <protection locked="0"/>
    </xf>
    <xf numFmtId="0" fontId="8" fillId="56" borderId="1" xfId="1450" applyFont="1" applyFill="1" applyBorder="1" applyAlignment="1" applyProtection="1">
      <alignment horizontal="center" vertical="center"/>
      <protection locked="0"/>
    </xf>
    <xf numFmtId="3" fontId="101" fillId="5" borderId="1" xfId="1450" applyNumberFormat="1" applyFont="1" applyFill="1" applyBorder="1" applyAlignment="1" applyProtection="1">
      <alignment horizontal="center" vertical="center"/>
      <protection locked="0"/>
    </xf>
    <xf numFmtId="3" fontId="102" fillId="5" borderId="1" xfId="1450" applyNumberFormat="1" applyFont="1" applyFill="1" applyBorder="1" applyAlignment="1" applyProtection="1">
      <alignment wrapText="1"/>
      <protection locked="0"/>
    </xf>
    <xf numFmtId="3" fontId="139" fillId="5" borderId="1" xfId="1450" applyNumberFormat="1" applyFont="1" applyFill="1" applyBorder="1" applyAlignment="1" applyProtection="1">
      <alignment horizontal="center" vertical="center"/>
      <protection locked="0"/>
    </xf>
    <xf numFmtId="3" fontId="7" fillId="5" borderId="1" xfId="1450" applyNumberFormat="1" applyFont="1" applyFill="1" applyBorder="1" applyAlignment="1" applyProtection="1">
      <alignment horizontal="center" vertical="center"/>
      <protection locked="0"/>
    </xf>
    <xf numFmtId="3" fontId="8" fillId="5" borderId="1" xfId="1450" applyNumberFormat="1" applyFont="1" applyFill="1" applyBorder="1" applyAlignment="1" applyProtection="1">
      <alignment horizontal="center" vertical="center"/>
      <protection locked="0"/>
    </xf>
    <xf numFmtId="0" fontId="164" fillId="0" borderId="0" xfId="1169" applyFont="1" applyProtection="1">
      <protection locked="0"/>
    </xf>
    <xf numFmtId="4" fontId="131" fillId="0" borderId="1" xfId="0" applyNumberFormat="1" applyFont="1" applyBorder="1" applyAlignment="1" applyProtection="1">
      <alignment horizontal="center"/>
      <protection locked="0"/>
    </xf>
    <xf numFmtId="4" fontId="132" fillId="6" borderId="1" xfId="0" applyNumberFormat="1" applyFont="1" applyFill="1" applyBorder="1" applyAlignment="1" applyProtection="1">
      <alignment horizontal="center" vertical="center"/>
      <protection locked="0"/>
    </xf>
    <xf numFmtId="4" fontId="7" fillId="3" borderId="1" xfId="1203" applyNumberFormat="1" applyFont="1" applyFill="1" applyBorder="1" applyAlignment="1" applyProtection="1">
      <alignment horizontal="center" vertical="center" wrapText="1"/>
    </xf>
    <xf numFmtId="49" fontId="95" fillId="0" borderId="0" xfId="0" applyNumberFormat="1" applyFont="1" applyAlignment="1" applyProtection="1">
      <alignment horizontal="left"/>
    </xf>
    <xf numFmtId="4" fontId="7" fillId="52" borderId="0" xfId="1203" applyNumberFormat="1" applyFont="1" applyFill="1" applyBorder="1" applyAlignment="1" applyProtection="1">
      <alignment horizontal="center" vertical="top" wrapText="1"/>
      <protection locked="0"/>
    </xf>
    <xf numFmtId="4" fontId="7" fillId="52" borderId="0" xfId="3"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7" fillId="5" borderId="1" xfId="1169" applyFont="1" applyFill="1" applyBorder="1" applyAlignment="1" applyProtection="1">
      <alignment horizontal="center" vertical="center"/>
    </xf>
    <xf numFmtId="0" fontId="101" fillId="5" borderId="1" xfId="1169" applyFont="1" applyFill="1" applyBorder="1" applyAlignment="1" applyProtection="1">
      <alignment horizontal="center" vertical="center"/>
    </xf>
    <xf numFmtId="0" fontId="8" fillId="5" borderId="5" xfId="1169" applyFont="1" applyFill="1" applyBorder="1" applyAlignment="1" applyProtection="1">
      <alignment horizontal="center" wrapText="1"/>
    </xf>
    <xf numFmtId="0" fontId="8" fillId="5" borderId="27" xfId="1169" applyFont="1" applyFill="1" applyBorder="1" applyAlignment="1" applyProtection="1">
      <alignment horizontal="center" wrapText="1"/>
    </xf>
    <xf numFmtId="0" fontId="8" fillId="5" borderId="26" xfId="1169" applyFont="1" applyFill="1" applyBorder="1" applyAlignment="1" applyProtection="1">
      <alignment horizontal="center" vertical="center"/>
    </xf>
    <xf numFmtId="0" fontId="8" fillId="5" borderId="5" xfId="1169" applyFont="1" applyFill="1" applyBorder="1" applyAlignment="1" applyProtection="1">
      <alignment horizontal="center" vertical="center"/>
    </xf>
    <xf numFmtId="0" fontId="8" fillId="5" borderId="27" xfId="1169" applyFont="1" applyFill="1" applyBorder="1" applyAlignment="1" applyProtection="1">
      <alignment horizontal="center" vertical="center"/>
    </xf>
    <xf numFmtId="0" fontId="8" fillId="5" borderId="1" xfId="1169" applyFont="1" applyFill="1" applyBorder="1" applyAlignment="1" applyProtection="1">
      <alignment horizontal="center" wrapText="1"/>
    </xf>
    <xf numFmtId="0" fontId="106" fillId="0" borderId="0" xfId="1169" applyFont="1" applyBorder="1" applyAlignment="1" applyProtection="1">
      <alignment horizontal="center"/>
    </xf>
    <xf numFmtId="0" fontId="92" fillId="5" borderId="1" xfId="1169" applyFont="1" applyFill="1" applyBorder="1" applyAlignment="1" applyProtection="1">
      <alignment horizontal="center" vertical="center" wrapText="1"/>
    </xf>
    <xf numFmtId="0" fontId="104" fillId="6" borderId="1" xfId="1169" applyFont="1" applyFill="1" applyBorder="1" applyAlignment="1" applyProtection="1">
      <alignment horizontal="center" vertical="center" wrapText="1"/>
      <protection locked="0"/>
    </xf>
    <xf numFmtId="0" fontId="88" fillId="0" borderId="1" xfId="1203" applyFont="1" applyFill="1" applyBorder="1" applyAlignment="1" applyProtection="1">
      <alignment horizontal="center" vertical="center"/>
    </xf>
    <xf numFmtId="2" fontId="103" fillId="3" borderId="1" xfId="1169" applyNumberFormat="1" applyFont="1" applyFill="1" applyBorder="1" applyAlignment="1" applyProtection="1">
      <alignment horizontal="center" vertical="center" wrapText="1"/>
    </xf>
    <xf numFmtId="0" fontId="105" fillId="6" borderId="1" xfId="1442" applyFill="1" applyBorder="1" applyAlignment="1" applyProtection="1">
      <alignment horizontal="center" vertical="center" wrapText="1"/>
      <protection locked="0"/>
    </xf>
    <xf numFmtId="4" fontId="88" fillId="3" borderId="21" xfId="1169" applyNumberFormat="1" applyFont="1" applyFill="1" applyBorder="1" applyAlignment="1" applyProtection="1">
      <alignment horizontal="center" vertical="center" wrapText="1"/>
    </xf>
    <xf numFmtId="4" fontId="88" fillId="3" borderId="29" xfId="1169" applyNumberFormat="1" applyFont="1" applyFill="1" applyBorder="1" applyAlignment="1" applyProtection="1">
      <alignment horizontal="center" vertical="center" wrapText="1"/>
    </xf>
    <xf numFmtId="0" fontId="7" fillId="6" borderId="1" xfId="1169" applyFont="1" applyFill="1" applyBorder="1" applyAlignment="1" applyProtection="1">
      <alignment horizontal="center" vertical="center"/>
      <protection locked="0"/>
    </xf>
    <xf numFmtId="14" fontId="7" fillId="6" borderId="1" xfId="1169" applyNumberFormat="1" applyFont="1" applyFill="1" applyBorder="1" applyAlignment="1" applyProtection="1">
      <alignment horizontal="center" vertical="center"/>
      <protection locked="0"/>
    </xf>
    <xf numFmtId="0" fontId="7" fillId="5" borderId="21" xfId="1169" applyFont="1" applyFill="1" applyBorder="1" applyAlignment="1" applyProtection="1">
      <alignment horizontal="center" vertical="center"/>
    </xf>
    <xf numFmtId="0" fontId="7" fillId="5" borderId="29" xfId="1169" applyFont="1" applyFill="1" applyBorder="1" applyAlignment="1" applyProtection="1">
      <alignment horizontal="center" vertical="center"/>
    </xf>
    <xf numFmtId="14" fontId="7" fillId="5" borderId="21" xfId="1169" applyNumberFormat="1" applyFont="1" applyFill="1" applyBorder="1" applyAlignment="1" applyProtection="1">
      <alignment horizontal="center" vertical="center"/>
    </xf>
    <xf numFmtId="4" fontId="88" fillId="4" borderId="1" xfId="1169" applyNumberFormat="1" applyFont="1" applyFill="1" applyBorder="1" applyAlignment="1" applyProtection="1">
      <alignment horizontal="center" vertical="center" wrapText="1"/>
      <protection locked="0"/>
    </xf>
    <xf numFmtId="3" fontId="88" fillId="3" borderId="2" xfId="1169" applyNumberFormat="1" applyFont="1" applyFill="1" applyBorder="1" applyAlignment="1" applyProtection="1">
      <alignment horizontal="center" vertical="center" wrapText="1"/>
    </xf>
    <xf numFmtId="3" fontId="88" fillId="3" borderId="23" xfId="1169" applyNumberFormat="1" applyFont="1" applyFill="1" applyBorder="1" applyAlignment="1" applyProtection="1">
      <alignment horizontal="center" vertical="center" wrapText="1"/>
    </xf>
    <xf numFmtId="3" fontId="88" fillId="3" borderId="24" xfId="1169" applyNumberFormat="1" applyFont="1" applyFill="1" applyBorder="1" applyAlignment="1" applyProtection="1">
      <alignment horizontal="center" vertical="center" wrapText="1"/>
    </xf>
    <xf numFmtId="3" fontId="88" fillId="3" borderId="25" xfId="1169" applyNumberFormat="1" applyFont="1" applyFill="1" applyBorder="1" applyAlignment="1" applyProtection="1">
      <alignment horizontal="center" vertical="center" wrapText="1"/>
    </xf>
    <xf numFmtId="0" fontId="106" fillId="2" borderId="1" xfId="1169" applyFont="1" applyFill="1" applyBorder="1" applyAlignment="1" applyProtection="1">
      <alignment horizontal="center" vertical="center" wrapText="1"/>
    </xf>
    <xf numFmtId="0" fontId="8" fillId="0" borderId="5" xfId="1169" applyFont="1" applyBorder="1" applyAlignment="1" applyProtection="1">
      <alignment horizontal="center"/>
    </xf>
    <xf numFmtId="0" fontId="106" fillId="0" borderId="4" xfId="1169" applyFont="1" applyBorder="1" applyAlignment="1" applyProtection="1">
      <alignment horizontal="center"/>
    </xf>
    <xf numFmtId="4" fontId="7" fillId="6" borderId="2" xfId="1169" applyNumberFormat="1" applyFont="1" applyFill="1" applyBorder="1" applyAlignment="1" applyProtection="1">
      <alignment horizontal="center" vertical="center" wrapText="1"/>
      <protection locked="0"/>
    </xf>
    <xf numFmtId="4" fontId="7" fillId="6" borderId="23" xfId="1169" applyNumberFormat="1" applyFont="1" applyFill="1" applyBorder="1" applyAlignment="1" applyProtection="1">
      <alignment horizontal="center" vertical="center" wrapText="1"/>
      <protection locked="0"/>
    </xf>
    <xf numFmtId="4" fontId="7" fillId="6" borderId="4" xfId="1169" applyNumberFormat="1" applyFont="1" applyFill="1" applyBorder="1" applyAlignment="1" applyProtection="1">
      <alignment horizontal="center" vertical="center" wrapText="1"/>
      <protection locked="0"/>
    </xf>
    <xf numFmtId="4" fontId="7" fillId="6" borderId="19" xfId="1169" applyNumberFormat="1" applyFont="1" applyFill="1" applyBorder="1" applyAlignment="1" applyProtection="1">
      <alignment horizontal="center" vertical="center" wrapText="1"/>
      <protection locked="0"/>
    </xf>
    <xf numFmtId="4" fontId="7" fillId="6" borderId="24" xfId="1169" applyNumberFormat="1" applyFont="1" applyFill="1" applyBorder="1" applyAlignment="1" applyProtection="1">
      <alignment horizontal="center" vertical="center" wrapText="1"/>
      <protection locked="0"/>
    </xf>
    <xf numFmtId="4" fontId="7" fillId="6" borderId="25" xfId="1169" applyNumberFormat="1" applyFont="1" applyFill="1" applyBorder="1" applyAlignment="1" applyProtection="1">
      <alignment horizontal="center" vertical="center" wrapText="1"/>
      <protection locked="0"/>
    </xf>
    <xf numFmtId="0" fontId="106" fillId="5" borderId="1" xfId="1169" applyFont="1" applyFill="1" applyBorder="1" applyAlignment="1" applyProtection="1">
      <alignment horizontal="center" vertical="center" wrapText="1"/>
    </xf>
    <xf numFmtId="0" fontId="7" fillId="5" borderId="1" xfId="1169" applyFont="1" applyFill="1" applyBorder="1" applyAlignment="1" applyProtection="1">
      <alignment horizontal="left" vertical="center"/>
    </xf>
    <xf numFmtId="0" fontId="7" fillId="5" borderId="1" xfId="1169" applyFont="1" applyFill="1" applyBorder="1" applyAlignment="1" applyProtection="1">
      <alignment horizontal="left" vertical="center" wrapText="1"/>
    </xf>
    <xf numFmtId="14" fontId="7" fillId="6" borderId="21" xfId="1169" applyNumberFormat="1" applyFont="1" applyFill="1" applyBorder="1" applyAlignment="1" applyProtection="1">
      <alignment horizontal="center" vertical="center"/>
      <protection locked="0"/>
    </xf>
    <xf numFmtId="14" fontId="7" fillId="6" borderId="28" xfId="1169" applyNumberFormat="1" applyFont="1" applyFill="1" applyBorder="1" applyAlignment="1" applyProtection="1">
      <alignment horizontal="center" vertical="center"/>
      <protection locked="0"/>
    </xf>
    <xf numFmtId="14" fontId="7" fillId="6" borderId="29" xfId="1169" applyNumberFormat="1" applyFont="1" applyFill="1" applyBorder="1" applyAlignment="1" applyProtection="1">
      <alignment horizontal="center" vertical="center"/>
      <protection locked="0"/>
    </xf>
    <xf numFmtId="0" fontId="7" fillId="6" borderId="21" xfId="1169" applyFont="1" applyFill="1" applyBorder="1" applyAlignment="1" applyProtection="1">
      <alignment horizontal="center" vertical="center"/>
      <protection locked="0"/>
    </xf>
    <xf numFmtId="0" fontId="7" fillId="6" borderId="28" xfId="1169" applyFont="1" applyFill="1" applyBorder="1" applyAlignment="1" applyProtection="1">
      <alignment horizontal="center" vertical="center"/>
      <protection locked="0"/>
    </xf>
    <xf numFmtId="0" fontId="7" fillId="6" borderId="29" xfId="1169" applyFont="1" applyFill="1" applyBorder="1" applyAlignment="1" applyProtection="1">
      <alignment horizontal="center" vertical="center"/>
      <protection locked="0"/>
    </xf>
    <xf numFmtId="0" fontId="8" fillId="0" borderId="0" xfId="1169" applyFont="1" applyAlignment="1" applyProtection="1">
      <alignment horizontal="center"/>
    </xf>
    <xf numFmtId="2" fontId="95" fillId="0" borderId="0" xfId="1169" applyNumberFormat="1" applyFont="1" applyAlignment="1" applyProtection="1">
      <alignment horizontal="center"/>
    </xf>
    <xf numFmtId="1" fontId="102" fillId="0" borderId="0" xfId="1169" applyNumberFormat="1" applyFont="1" applyAlignment="1" applyProtection="1">
      <alignment horizontal="center"/>
    </xf>
    <xf numFmtId="1" fontId="106" fillId="0" borderId="0" xfId="1169" applyNumberFormat="1" applyFont="1" applyAlignment="1" applyProtection="1">
      <alignment horizontal="center"/>
    </xf>
    <xf numFmtId="2" fontId="97" fillId="0" borderId="0" xfId="0" applyNumberFormat="1" applyFont="1" applyAlignment="1" applyProtection="1">
      <alignment horizontal="center"/>
    </xf>
    <xf numFmtId="0" fontId="97" fillId="0" borderId="0" xfId="0" applyFont="1" applyAlignment="1" applyProtection="1">
      <alignment horizontal="center"/>
    </xf>
    <xf numFmtId="49" fontId="90" fillId="0" borderId="0" xfId="1203" applyNumberFormat="1" applyFont="1" applyFill="1" applyBorder="1" applyAlignment="1" applyProtection="1">
      <alignment horizontal="center" vertical="center" wrapText="1"/>
    </xf>
    <xf numFmtId="4" fontId="99" fillId="0" borderId="0" xfId="1203" applyNumberFormat="1" applyFont="1" applyFill="1" applyBorder="1" applyAlignment="1" applyProtection="1">
      <alignment horizontal="center" vertical="center" wrapText="1"/>
    </xf>
    <xf numFmtId="0" fontId="8" fillId="5" borderId="21" xfId="0" applyFont="1" applyFill="1" applyBorder="1" applyAlignment="1" applyProtection="1">
      <alignment vertical="center" wrapText="1"/>
    </xf>
    <xf numFmtId="0" fontId="8" fillId="5" borderId="28" xfId="0" applyFont="1" applyFill="1" applyBorder="1" applyAlignment="1" applyProtection="1">
      <alignment vertical="center" wrapText="1"/>
    </xf>
    <xf numFmtId="0" fontId="8" fillId="5" borderId="29" xfId="0" applyFont="1" applyFill="1" applyBorder="1" applyAlignment="1" applyProtection="1">
      <alignment vertical="center" wrapText="1"/>
    </xf>
    <xf numFmtId="0" fontId="106" fillId="5" borderId="21" xfId="0" applyFont="1" applyFill="1" applyBorder="1" applyAlignment="1" applyProtection="1">
      <alignment horizontal="center" vertical="center" wrapText="1"/>
    </xf>
    <xf numFmtId="0" fontId="106" fillId="5" borderId="28" xfId="0" applyFont="1" applyFill="1" applyBorder="1" applyAlignment="1" applyProtection="1">
      <alignment horizontal="center" vertical="center" wrapText="1"/>
    </xf>
    <xf numFmtId="0" fontId="106" fillId="5" borderId="29" xfId="0" applyFont="1" applyFill="1" applyBorder="1" applyAlignment="1" applyProtection="1">
      <alignment horizontal="center" vertical="center" wrapText="1"/>
    </xf>
    <xf numFmtId="0" fontId="106" fillId="5" borderId="26" xfId="0" applyFont="1" applyFill="1" applyBorder="1" applyAlignment="1" applyProtection="1">
      <alignment horizontal="center" vertical="center" wrapText="1"/>
    </xf>
    <xf numFmtId="0" fontId="106" fillId="5" borderId="5" xfId="0" applyFont="1" applyFill="1" applyBorder="1" applyAlignment="1" applyProtection="1">
      <alignment horizontal="center" vertical="center" wrapText="1"/>
    </xf>
    <xf numFmtId="0" fontId="106" fillId="5" borderId="27" xfId="0" applyFont="1" applyFill="1" applyBorder="1" applyAlignment="1" applyProtection="1">
      <alignment horizontal="center" vertical="center" wrapText="1"/>
    </xf>
    <xf numFmtId="2" fontId="106" fillId="5" borderId="21" xfId="0" applyNumberFormat="1" applyFont="1" applyFill="1" applyBorder="1" applyAlignment="1" applyProtection="1">
      <alignment horizontal="center" vertical="center" wrapText="1"/>
    </xf>
    <xf numFmtId="2" fontId="106" fillId="5" borderId="28" xfId="0" applyNumberFormat="1" applyFont="1" applyFill="1" applyBorder="1" applyAlignment="1" applyProtection="1">
      <alignment horizontal="center" vertical="center" wrapText="1"/>
    </xf>
    <xf numFmtId="2" fontId="106" fillId="5" borderId="29" xfId="0" applyNumberFormat="1" applyFont="1" applyFill="1" applyBorder="1" applyAlignment="1" applyProtection="1">
      <alignment horizontal="center" vertical="center" wrapText="1"/>
    </xf>
    <xf numFmtId="1" fontId="106" fillId="5" borderId="1" xfId="0" applyNumberFormat="1" applyFont="1" applyFill="1" applyBorder="1" applyAlignment="1" applyProtection="1">
      <alignment horizontal="center" vertical="center" wrapText="1" shrinkToFit="1"/>
    </xf>
    <xf numFmtId="1" fontId="106" fillId="5" borderId="5" xfId="0" applyNumberFormat="1" applyFont="1" applyFill="1" applyBorder="1" applyAlignment="1" applyProtection="1">
      <alignment horizontal="center" vertical="center" wrapText="1" shrinkToFit="1"/>
    </xf>
    <xf numFmtId="1" fontId="106" fillId="5" borderId="27" xfId="0" applyNumberFormat="1" applyFont="1" applyFill="1" applyBorder="1" applyAlignment="1" applyProtection="1">
      <alignment horizontal="center" vertical="center" wrapText="1" shrinkToFit="1"/>
    </xf>
    <xf numFmtId="1" fontId="106" fillId="5" borderId="26" xfId="0" applyNumberFormat="1" applyFont="1" applyFill="1" applyBorder="1" applyAlignment="1" applyProtection="1">
      <alignment horizontal="center" vertical="center" wrapText="1" shrinkToFit="1"/>
    </xf>
    <xf numFmtId="2" fontId="131" fillId="3" borderId="1" xfId="1203" applyNumberFormat="1" applyFont="1" applyFill="1" applyBorder="1" applyAlignment="1" applyProtection="1">
      <alignment horizontal="center" vertical="center" wrapText="1"/>
    </xf>
    <xf numFmtId="0" fontId="113" fillId="0" borderId="0" xfId="0" applyFont="1" applyAlignment="1" applyProtection="1">
      <alignment horizontal="center"/>
    </xf>
    <xf numFmtId="2" fontId="97" fillId="0" borderId="0" xfId="0" applyNumberFormat="1" applyFont="1" applyAlignment="1" applyProtection="1">
      <alignment horizontal="center" wrapText="1"/>
    </xf>
    <xf numFmtId="4" fontId="7" fillId="3" borderId="1" xfId="1203" applyNumberFormat="1" applyFont="1" applyFill="1" applyBorder="1" applyAlignment="1" applyProtection="1">
      <alignment horizontal="center" vertical="center" wrapText="1"/>
    </xf>
    <xf numFmtId="2" fontId="97" fillId="0" borderId="0" xfId="0" applyNumberFormat="1" applyFont="1" applyAlignment="1" applyProtection="1">
      <alignment horizontal="center" wrapText="1"/>
      <protection locked="0"/>
    </xf>
    <xf numFmtId="4" fontId="99" fillId="0" borderId="0" xfId="1203" applyNumberFormat="1" applyFont="1" applyFill="1" applyBorder="1" applyAlignment="1" applyProtection="1">
      <alignment horizontal="center" vertical="center" wrapText="1"/>
      <protection locked="0"/>
    </xf>
    <xf numFmtId="0" fontId="132" fillId="0" borderId="0" xfId="0" applyFont="1" applyAlignment="1" applyProtection="1">
      <alignment horizontal="center"/>
    </xf>
    <xf numFmtId="0" fontId="132" fillId="5" borderId="1" xfId="0" applyFont="1" applyFill="1" applyBorder="1" applyAlignment="1" applyProtection="1">
      <alignment horizontal="center" vertical="center"/>
    </xf>
    <xf numFmtId="49" fontId="106" fillId="5" borderId="1" xfId="0" applyNumberFormat="1" applyFont="1" applyFill="1" applyBorder="1" applyAlignment="1" applyProtection="1">
      <alignment horizontal="center" vertical="center"/>
    </xf>
    <xf numFmtId="0" fontId="132" fillId="5" borderId="1" xfId="0" applyFont="1" applyFill="1" applyBorder="1" applyAlignment="1" applyProtection="1">
      <alignment horizontal="center" vertical="center" wrapText="1"/>
    </xf>
    <xf numFmtId="0" fontId="132" fillId="5" borderId="21" xfId="0" applyFont="1" applyFill="1" applyBorder="1" applyAlignment="1" applyProtection="1">
      <alignment horizontal="center" vertical="center" wrapText="1"/>
    </xf>
    <xf numFmtId="0" fontId="132" fillId="5" borderId="29" xfId="0" applyFont="1" applyFill="1" applyBorder="1" applyAlignment="1" applyProtection="1">
      <alignment horizontal="center" vertical="center" wrapText="1"/>
    </xf>
    <xf numFmtId="4" fontId="90" fillId="0" borderId="0" xfId="1203" applyNumberFormat="1" applyFont="1" applyFill="1" applyBorder="1" applyAlignment="1" applyProtection="1">
      <alignment horizontal="center" vertical="center" wrapText="1"/>
    </xf>
    <xf numFmtId="0" fontId="132" fillId="0" borderId="0" xfId="0" applyFont="1" applyAlignment="1" applyProtection="1">
      <alignment horizontal="left" wrapText="1"/>
    </xf>
    <xf numFmtId="0" fontId="7" fillId="5" borderId="21" xfId="1203" applyFont="1" applyFill="1" applyBorder="1" applyAlignment="1" applyProtection="1">
      <alignment horizontal="center" vertical="center" wrapText="1"/>
    </xf>
    <xf numFmtId="0" fontId="7" fillId="5" borderId="29" xfId="1203" applyFont="1" applyFill="1" applyBorder="1" applyAlignment="1" applyProtection="1">
      <alignment horizontal="center" vertical="center" wrapText="1"/>
    </xf>
    <xf numFmtId="1" fontId="8" fillId="5" borderId="21" xfId="1203" applyNumberFormat="1" applyFont="1" applyFill="1" applyBorder="1" applyAlignment="1" applyProtection="1">
      <alignment horizontal="center" vertical="center" wrapText="1"/>
    </xf>
    <xf numFmtId="1" fontId="8" fillId="5" borderId="29" xfId="1203" applyNumberFormat="1" applyFont="1" applyFill="1" applyBorder="1" applyAlignment="1" applyProtection="1">
      <alignment horizontal="center" vertical="center" wrapText="1"/>
    </xf>
    <xf numFmtId="1" fontId="92" fillId="0" borderId="21" xfId="1203" applyNumberFormat="1" applyFont="1" applyFill="1" applyBorder="1" applyAlignment="1" applyProtection="1">
      <alignment horizontal="center" vertical="center" wrapText="1"/>
      <protection locked="0"/>
    </xf>
    <xf numFmtId="1" fontId="92" fillId="0" borderId="29" xfId="1203" applyNumberFormat="1" applyFont="1" applyFill="1" applyBorder="1" applyAlignment="1" applyProtection="1">
      <alignment horizontal="center" vertical="center" wrapText="1"/>
      <protection locked="0"/>
    </xf>
    <xf numFmtId="0" fontId="110" fillId="0" borderId="0" xfId="0" applyFont="1" applyAlignment="1" applyProtection="1">
      <alignment horizontal="center" vertical="center" wrapText="1"/>
    </xf>
    <xf numFmtId="0" fontId="104" fillId="0" borderId="21" xfId="0" applyFont="1" applyBorder="1" applyAlignment="1" applyProtection="1">
      <alignment horizontal="center" vertical="center" wrapText="1"/>
      <protection locked="0"/>
    </xf>
    <xf numFmtId="0" fontId="104" fillId="0" borderId="28" xfId="0" applyFont="1" applyBorder="1" applyAlignment="1" applyProtection="1">
      <alignment horizontal="center" vertical="center" wrapText="1"/>
      <protection locked="0"/>
    </xf>
    <xf numFmtId="0" fontId="104" fillId="0" borderId="29" xfId="0" applyFont="1" applyBorder="1" applyAlignment="1" applyProtection="1">
      <alignment horizontal="center" vertical="center" wrapText="1"/>
      <protection locked="0"/>
    </xf>
    <xf numFmtId="2" fontId="93" fillId="0" borderId="0" xfId="0" applyNumberFormat="1" applyFont="1" applyAlignment="1" applyProtection="1">
      <alignment horizontal="center" wrapText="1"/>
    </xf>
    <xf numFmtId="1" fontId="92" fillId="0" borderId="28" xfId="1203" applyNumberFormat="1" applyFont="1" applyFill="1" applyBorder="1" applyAlignment="1" applyProtection="1">
      <alignment horizontal="center" vertical="center" wrapText="1"/>
      <protection locked="0"/>
    </xf>
    <xf numFmtId="1" fontId="92" fillId="0" borderId="82" xfId="1203" applyNumberFormat="1" applyFont="1" applyFill="1" applyBorder="1" applyAlignment="1" applyProtection="1">
      <alignment horizontal="center" vertical="center" wrapText="1"/>
      <protection locked="0"/>
    </xf>
    <xf numFmtId="0" fontId="157" fillId="0" borderId="21" xfId="0" applyFont="1" applyBorder="1" applyAlignment="1" applyProtection="1">
      <alignment horizontal="center" vertical="center" wrapText="1"/>
      <protection locked="0"/>
    </xf>
    <xf numFmtId="0" fontId="157" fillId="0" borderId="28" xfId="0" applyFont="1" applyBorder="1" applyAlignment="1" applyProtection="1">
      <alignment horizontal="center" vertical="center" wrapText="1"/>
      <protection locked="0"/>
    </xf>
    <xf numFmtId="0" fontId="157" fillId="0" borderId="29" xfId="0" applyFont="1" applyBorder="1" applyAlignment="1" applyProtection="1">
      <alignment horizontal="center" vertical="center" wrapText="1"/>
      <protection locked="0"/>
    </xf>
    <xf numFmtId="0" fontId="5" fillId="5" borderId="82" xfId="1169" applyFont="1" applyFill="1" applyBorder="1" applyAlignment="1" applyProtection="1">
      <alignment horizontal="center" vertical="center" wrapText="1"/>
    </xf>
    <xf numFmtId="0" fontId="5" fillId="5" borderId="28" xfId="1169" applyFont="1" applyFill="1" applyBorder="1" applyAlignment="1" applyProtection="1">
      <alignment horizontal="center" vertical="center" wrapText="1"/>
    </xf>
    <xf numFmtId="0" fontId="5" fillId="5" borderId="29" xfId="1169" applyFont="1" applyFill="1" applyBorder="1" applyAlignment="1" applyProtection="1">
      <alignment horizontal="center" vertical="center" wrapText="1"/>
    </xf>
    <xf numFmtId="1" fontId="148" fillId="5" borderId="1" xfId="1169" applyNumberFormat="1" applyFont="1" applyFill="1" applyBorder="1" applyAlignment="1" applyProtection="1">
      <alignment horizontal="center" vertical="center" wrapText="1"/>
    </xf>
    <xf numFmtId="191" fontId="5" fillId="5" borderId="1" xfId="1169" applyNumberFormat="1" applyFont="1" applyFill="1" applyBorder="1" applyAlignment="1" applyProtection="1">
      <alignment horizontal="center" vertical="center" wrapText="1"/>
    </xf>
    <xf numFmtId="0" fontId="142" fillId="5" borderId="81" xfId="0" applyFont="1" applyFill="1" applyBorder="1" applyAlignment="1" applyProtection="1">
      <alignment horizontal="center" vertical="center"/>
    </xf>
    <xf numFmtId="0" fontId="104" fillId="0" borderId="81" xfId="0" applyFont="1" applyBorder="1" applyAlignment="1" applyProtection="1">
      <alignment horizontal="center" vertical="center" wrapText="1"/>
      <protection locked="0"/>
    </xf>
    <xf numFmtId="0" fontId="142" fillId="5" borderId="82" xfId="0" applyFont="1" applyFill="1" applyBorder="1" applyAlignment="1" applyProtection="1">
      <alignment horizontal="center" vertical="center" wrapText="1"/>
    </xf>
    <xf numFmtId="0" fontId="142" fillId="5" borderId="29" xfId="0" applyFont="1" applyFill="1" applyBorder="1" applyAlignment="1" applyProtection="1">
      <alignment horizontal="center" vertical="center" wrapText="1"/>
    </xf>
    <xf numFmtId="0" fontId="142" fillId="5" borderId="82" xfId="0" applyFont="1" applyFill="1" applyBorder="1" applyAlignment="1" applyProtection="1">
      <alignment horizontal="center" vertical="center"/>
    </xf>
    <xf numFmtId="0" fontId="142" fillId="5" borderId="29" xfId="0" applyFont="1" applyFill="1" applyBorder="1" applyAlignment="1" applyProtection="1">
      <alignment horizontal="center" vertical="center"/>
    </xf>
    <xf numFmtId="0" fontId="142" fillId="5" borderId="26" xfId="0" applyFont="1" applyFill="1" applyBorder="1" applyAlignment="1" applyProtection="1">
      <alignment horizontal="center" vertical="center"/>
    </xf>
    <xf numFmtId="0" fontId="142" fillId="5" borderId="5" xfId="0" applyFont="1" applyFill="1" applyBorder="1" applyAlignment="1" applyProtection="1">
      <alignment horizontal="center" vertical="center"/>
    </xf>
    <xf numFmtId="0" fontId="142" fillId="5" borderId="27" xfId="0" applyFont="1" applyFill="1" applyBorder="1" applyAlignment="1" applyProtection="1">
      <alignment horizontal="center" vertical="center"/>
    </xf>
    <xf numFmtId="0" fontId="104" fillId="0" borderId="82" xfId="0" applyFont="1" applyBorder="1" applyAlignment="1" applyProtection="1">
      <alignment horizontal="center" vertical="center" wrapText="1"/>
      <protection locked="0"/>
    </xf>
    <xf numFmtId="2" fontId="93" fillId="0" borderId="0" xfId="0" applyNumberFormat="1" applyFont="1" applyAlignment="1" applyProtection="1">
      <alignment horizontal="center" vertical="center" wrapText="1"/>
    </xf>
    <xf numFmtId="0" fontId="132" fillId="5" borderId="21" xfId="0" applyFont="1" applyFill="1" applyBorder="1" applyAlignment="1" applyProtection="1">
      <alignment horizontal="center" vertical="center"/>
    </xf>
    <xf numFmtId="0" fontId="132" fillId="5" borderId="28" xfId="0" applyFont="1" applyFill="1" applyBorder="1" applyAlignment="1" applyProtection="1">
      <alignment horizontal="center" vertical="center"/>
    </xf>
    <xf numFmtId="0" fontId="132" fillId="5" borderId="29" xfId="0" applyFont="1" applyFill="1" applyBorder="1" applyAlignment="1" applyProtection="1">
      <alignment horizontal="center" vertical="center"/>
    </xf>
    <xf numFmtId="49" fontId="8" fillId="5" borderId="26" xfId="1203" applyNumberFormat="1" applyFont="1" applyFill="1" applyBorder="1" applyAlignment="1" applyProtection="1">
      <alignment horizontal="center" vertical="center" wrapText="1"/>
    </xf>
    <xf numFmtId="49" fontId="8" fillId="5" borderId="5" xfId="1203" applyNumberFormat="1" applyFont="1" applyFill="1" applyBorder="1" applyAlignment="1" applyProtection="1">
      <alignment horizontal="center" vertical="center" wrapText="1"/>
    </xf>
    <xf numFmtId="49" fontId="8" fillId="5" borderId="27" xfId="1203" applyNumberFormat="1" applyFont="1" applyFill="1" applyBorder="1" applyAlignment="1" applyProtection="1">
      <alignment horizontal="center" vertical="center" wrapText="1"/>
    </xf>
    <xf numFmtId="49" fontId="8" fillId="5" borderId="21" xfId="1203" applyNumberFormat="1" applyFont="1" applyFill="1" applyBorder="1" applyAlignment="1" applyProtection="1">
      <alignment horizontal="center" vertical="center" wrapText="1"/>
    </xf>
    <xf numFmtId="49" fontId="8" fillId="5" borderId="28" xfId="1203" applyNumberFormat="1" applyFont="1" applyFill="1" applyBorder="1" applyAlignment="1" applyProtection="1">
      <alignment horizontal="center" vertical="center" wrapText="1"/>
    </xf>
    <xf numFmtId="49" fontId="8" fillId="5" borderId="29" xfId="1203" applyNumberFormat="1" applyFont="1" applyFill="1" applyBorder="1" applyAlignment="1" applyProtection="1">
      <alignment horizontal="center" vertical="center" wrapText="1"/>
    </xf>
    <xf numFmtId="49" fontId="106" fillId="5" borderId="21" xfId="0" applyNumberFormat="1" applyFont="1" applyFill="1" applyBorder="1" applyAlignment="1" applyProtection="1">
      <alignment horizontal="center" vertical="center"/>
    </xf>
    <xf numFmtId="49" fontId="106" fillId="5" borderId="28" xfId="0" applyNumberFormat="1" applyFont="1" applyFill="1" applyBorder="1" applyAlignment="1" applyProtection="1">
      <alignment horizontal="center" vertical="center"/>
    </xf>
    <xf numFmtId="49" fontId="106" fillId="5" borderId="29" xfId="0" applyNumberFormat="1" applyFont="1" applyFill="1" applyBorder="1" applyAlignment="1" applyProtection="1">
      <alignment horizontal="center" vertical="center"/>
    </xf>
    <xf numFmtId="49" fontId="8" fillId="5" borderId="82" xfId="1203" applyNumberFormat="1" applyFont="1" applyFill="1" applyBorder="1" applyAlignment="1" applyProtection="1">
      <alignment horizontal="center" vertical="center" wrapText="1"/>
    </xf>
    <xf numFmtId="1" fontId="93" fillId="0" borderId="0" xfId="1203" applyNumberFormat="1" applyFont="1" applyFill="1" applyBorder="1" applyAlignment="1" applyProtection="1">
      <alignment horizontal="center" vertical="center" wrapText="1"/>
    </xf>
    <xf numFmtId="0" fontId="99" fillId="0" borderId="0" xfId="1203" applyFont="1" applyFill="1" applyBorder="1" applyAlignment="1" applyProtection="1">
      <alignment horizontal="center" vertical="center" wrapText="1"/>
    </xf>
    <xf numFmtId="1" fontId="8" fillId="5" borderId="1" xfId="1203" applyNumberFormat="1" applyFont="1" applyFill="1" applyBorder="1" applyAlignment="1" applyProtection="1">
      <alignment horizontal="center" vertical="center" wrapText="1"/>
    </xf>
    <xf numFmtId="1" fontId="92" fillId="0" borderId="1" xfId="1203" applyNumberFormat="1" applyFont="1" applyFill="1" applyBorder="1" applyAlignment="1" applyProtection="1">
      <alignment horizontal="center" vertical="center" wrapText="1"/>
      <protection locked="0"/>
    </xf>
    <xf numFmtId="1" fontId="7" fillId="0" borderId="26" xfId="1203" applyNumberFormat="1" applyFont="1" applyFill="1" applyBorder="1" applyAlignment="1" applyProtection="1">
      <alignment horizontal="center" vertical="center" wrapText="1"/>
      <protection locked="0"/>
    </xf>
    <xf numFmtId="1" fontId="7" fillId="0" borderId="27" xfId="1203" applyNumberFormat="1" applyFont="1" applyFill="1" applyBorder="1" applyAlignment="1" applyProtection="1">
      <alignment horizontal="center" vertical="center" wrapText="1"/>
      <protection locked="0"/>
    </xf>
    <xf numFmtId="0" fontId="8" fillId="5" borderId="1" xfId="1203" applyFont="1" applyFill="1" applyBorder="1" applyAlignment="1" applyProtection="1">
      <alignment horizontal="center" vertical="center" wrapText="1"/>
    </xf>
    <xf numFmtId="0" fontId="8" fillId="5" borderId="21" xfId="1203" applyFont="1" applyFill="1" applyBorder="1" applyAlignment="1" applyProtection="1">
      <alignment horizontal="center" vertical="center" wrapText="1"/>
    </xf>
    <xf numFmtId="0" fontId="8" fillId="5" borderId="28" xfId="1203" applyFont="1" applyFill="1" applyBorder="1" applyAlignment="1" applyProtection="1">
      <alignment horizontal="center" vertical="center" wrapText="1"/>
    </xf>
    <xf numFmtId="0" fontId="8" fillId="5" borderId="29" xfId="1203" applyFont="1" applyFill="1" applyBorder="1" applyAlignment="1" applyProtection="1">
      <alignment horizontal="center" vertical="center" wrapText="1"/>
    </xf>
    <xf numFmtId="1" fontId="7" fillId="0" borderId="1" xfId="1203" applyNumberFormat="1" applyFont="1" applyFill="1" applyBorder="1" applyAlignment="1" applyProtection="1">
      <alignment horizontal="center" vertical="center" wrapText="1"/>
      <protection locked="0"/>
    </xf>
    <xf numFmtId="1" fontId="8" fillId="0" borderId="0" xfId="1203" applyNumberFormat="1" applyFont="1" applyFill="1" applyBorder="1" applyAlignment="1" applyProtection="1">
      <alignment horizontal="center" vertical="center" wrapText="1"/>
    </xf>
    <xf numFmtId="4" fontId="8" fillId="5" borderId="34" xfId="1203" applyNumberFormat="1" applyFont="1" applyFill="1" applyBorder="1" applyAlignment="1" applyProtection="1">
      <alignment horizontal="center" vertical="center" wrapText="1"/>
    </xf>
    <xf numFmtId="4" fontId="8" fillId="5" borderId="35" xfId="1203" applyNumberFormat="1" applyFont="1" applyFill="1" applyBorder="1" applyAlignment="1" applyProtection="1">
      <alignment horizontal="center" vertical="center" wrapText="1"/>
    </xf>
    <xf numFmtId="4" fontId="8" fillId="5" borderId="36" xfId="1203" applyNumberFormat="1" applyFont="1" applyFill="1" applyBorder="1" applyAlignment="1" applyProtection="1">
      <alignment horizontal="center" vertical="center" wrapText="1"/>
    </xf>
    <xf numFmtId="2" fontId="5" fillId="3" borderId="34" xfId="1203" applyNumberFormat="1" applyFont="1" applyFill="1" applyBorder="1" applyAlignment="1" applyProtection="1">
      <alignment horizontal="center" vertical="center" wrapText="1"/>
    </xf>
    <xf numFmtId="2" fontId="5" fillId="3" borderId="35" xfId="1203" applyNumberFormat="1" applyFont="1" applyFill="1" applyBorder="1" applyAlignment="1" applyProtection="1">
      <alignment horizontal="center" vertical="center" wrapText="1"/>
    </xf>
    <xf numFmtId="2" fontId="5" fillId="3" borderId="36" xfId="1203" applyNumberFormat="1" applyFont="1" applyFill="1" applyBorder="1" applyAlignment="1" applyProtection="1">
      <alignment horizontal="center" vertical="center" wrapText="1"/>
    </xf>
    <xf numFmtId="2" fontId="5" fillId="6" borderId="1" xfId="1203" applyNumberFormat="1" applyFont="1" applyFill="1" applyBorder="1" applyAlignment="1" applyProtection="1">
      <alignment horizontal="center" vertical="center" wrapText="1"/>
      <protection locked="0"/>
    </xf>
    <xf numFmtId="0" fontId="108" fillId="5" borderId="1" xfId="1203" applyFont="1" applyFill="1" applyBorder="1" applyAlignment="1" applyProtection="1">
      <alignment horizontal="center" vertical="center" wrapText="1"/>
    </xf>
    <xf numFmtId="2" fontId="8" fillId="0" borderId="0" xfId="1203" applyNumberFormat="1" applyFont="1" applyFill="1" applyBorder="1" applyAlignment="1" applyProtection="1">
      <alignment horizontal="center" vertical="center" wrapText="1"/>
    </xf>
    <xf numFmtId="0" fontId="90" fillId="0" borderId="0" xfId="1203" applyFont="1" applyFill="1" applyBorder="1" applyAlignment="1" applyProtection="1">
      <alignment horizontal="center" vertical="top" wrapText="1"/>
    </xf>
    <xf numFmtId="2" fontId="93" fillId="0" borderId="0" xfId="1203" applyNumberFormat="1" applyFont="1" applyFill="1" applyBorder="1" applyAlignment="1" applyProtection="1">
      <alignment horizontal="center" vertical="center" wrapText="1"/>
    </xf>
    <xf numFmtId="0" fontId="90" fillId="0" borderId="0" xfId="1203" applyFont="1" applyFill="1" applyBorder="1" applyAlignment="1" applyProtection="1">
      <alignment horizontal="center" vertical="center" wrapText="1"/>
    </xf>
    <xf numFmtId="3" fontId="8" fillId="5" borderId="21" xfId="1203" applyNumberFormat="1" applyFont="1" applyFill="1" applyBorder="1" applyAlignment="1" applyProtection="1">
      <alignment horizontal="center" vertical="center" wrapText="1"/>
    </xf>
    <xf numFmtId="3" fontId="8" fillId="5" borderId="29" xfId="1203" applyNumberFormat="1" applyFont="1" applyFill="1" applyBorder="1" applyAlignment="1" applyProtection="1">
      <alignment horizontal="center" vertical="center" wrapText="1"/>
    </xf>
    <xf numFmtId="49" fontId="8" fillId="5" borderId="2" xfId="1203" applyNumberFormat="1" applyFont="1" applyFill="1" applyBorder="1" applyAlignment="1" applyProtection="1">
      <alignment horizontal="center" vertical="center" wrapText="1"/>
    </xf>
    <xf numFmtId="0" fontId="8" fillId="5" borderId="24" xfId="1203" applyFont="1" applyFill="1" applyBorder="1" applyAlignment="1" applyProtection="1">
      <alignment horizontal="center" vertical="center" wrapText="1"/>
    </xf>
    <xf numFmtId="0" fontId="90" fillId="0" borderId="0" xfId="1169" applyFont="1" applyFill="1" applyAlignment="1" applyProtection="1">
      <alignment horizontal="center" vertical="center"/>
    </xf>
    <xf numFmtId="2" fontId="93" fillId="0" borderId="0" xfId="1169" applyNumberFormat="1" applyFont="1" applyFill="1" applyAlignment="1" applyProtection="1">
      <alignment horizontal="center" vertical="center"/>
    </xf>
    <xf numFmtId="1" fontId="7" fillId="0" borderId="0" xfId="1169" applyNumberFormat="1" applyFont="1" applyFill="1" applyAlignment="1" applyProtection="1">
      <alignment horizontal="center" vertical="center"/>
    </xf>
    <xf numFmtId="0" fontId="7" fillId="5" borderId="1" xfId="1169" applyFont="1" applyFill="1" applyBorder="1" applyAlignment="1" applyProtection="1">
      <alignment horizontal="center" vertical="center" wrapText="1"/>
    </xf>
    <xf numFmtId="0" fontId="7" fillId="5" borderId="2" xfId="1169" applyFont="1" applyFill="1" applyBorder="1" applyAlignment="1" applyProtection="1">
      <alignment horizontal="center" vertical="center" wrapText="1"/>
    </xf>
    <xf numFmtId="0" fontId="7" fillId="5" borderId="22" xfId="1169" applyFont="1" applyFill="1" applyBorder="1" applyAlignment="1" applyProtection="1">
      <alignment horizontal="center" vertical="center" wrapText="1"/>
    </xf>
    <xf numFmtId="0" fontId="7" fillId="5" borderId="23" xfId="1169" applyFont="1" applyFill="1" applyBorder="1" applyAlignment="1" applyProtection="1">
      <alignment horizontal="center" vertical="center" wrapText="1"/>
    </xf>
    <xf numFmtId="0" fontId="7" fillId="5" borderId="24" xfId="1169" applyFont="1" applyFill="1" applyBorder="1" applyAlignment="1" applyProtection="1">
      <alignment horizontal="center" vertical="center" wrapText="1"/>
    </xf>
    <xf numFmtId="0" fontId="7" fillId="5" borderId="3" xfId="1169" applyFont="1" applyFill="1" applyBorder="1" applyAlignment="1" applyProtection="1">
      <alignment horizontal="center" vertical="center" wrapText="1"/>
    </xf>
    <xf numFmtId="0" fontId="7" fillId="5" borderId="25" xfId="1169" applyFont="1" applyFill="1" applyBorder="1" applyAlignment="1" applyProtection="1">
      <alignment horizontal="center" vertical="center" wrapText="1"/>
    </xf>
    <xf numFmtId="4" fontId="8" fillId="5" borderId="26" xfId="1169" applyNumberFormat="1" applyFont="1" applyFill="1" applyBorder="1" applyAlignment="1" applyProtection="1">
      <alignment horizontal="center" wrapText="1"/>
    </xf>
    <xf numFmtId="4" fontId="8" fillId="5" borderId="5" xfId="1169" applyNumberFormat="1" applyFont="1" applyFill="1" applyBorder="1" applyAlignment="1" applyProtection="1">
      <alignment horizontal="center" wrapText="1"/>
    </xf>
    <xf numFmtId="4" fontId="8" fillId="5" borderId="27" xfId="1169" applyNumberFormat="1" applyFont="1" applyFill="1" applyBorder="1" applyAlignment="1" applyProtection="1">
      <alignment horizontal="center" wrapText="1"/>
    </xf>
    <xf numFmtId="0" fontId="8" fillId="5" borderId="26" xfId="1169" applyFont="1" applyFill="1" applyBorder="1" applyAlignment="1" applyProtection="1">
      <alignment horizontal="center" wrapText="1"/>
    </xf>
    <xf numFmtId="3" fontId="8" fillId="5" borderId="26" xfId="1169" applyNumberFormat="1" applyFont="1" applyFill="1" applyBorder="1" applyAlignment="1" applyProtection="1">
      <alignment horizontal="center" wrapText="1"/>
    </xf>
    <xf numFmtId="3" fontId="8" fillId="5" borderId="5" xfId="1169" applyNumberFormat="1" applyFont="1" applyFill="1" applyBorder="1" applyAlignment="1" applyProtection="1">
      <alignment horizontal="center" wrapText="1"/>
    </xf>
    <xf numFmtId="3" fontId="8" fillId="5" borderId="27" xfId="1169" applyNumberFormat="1" applyFont="1" applyFill="1" applyBorder="1" applyAlignment="1" applyProtection="1">
      <alignment horizontal="center" wrapText="1"/>
    </xf>
    <xf numFmtId="0" fontId="8" fillId="5" borderId="5" xfId="1169" applyFont="1" applyFill="1" applyBorder="1" applyAlignment="1" applyProtection="1">
      <alignment horizontal="center" vertical="center" wrapText="1"/>
    </xf>
    <xf numFmtId="0" fontId="8" fillId="5" borderId="27" xfId="1169" applyFont="1" applyFill="1" applyBorder="1" applyAlignment="1" applyProtection="1">
      <alignment horizontal="center" vertical="center" wrapText="1"/>
    </xf>
    <xf numFmtId="0" fontId="8" fillId="5" borderId="26" xfId="1169" applyFont="1" applyFill="1" applyBorder="1" applyAlignment="1" applyProtection="1">
      <alignment horizontal="center" vertical="center" wrapText="1"/>
    </xf>
    <xf numFmtId="49" fontId="8" fillId="5" borderId="1" xfId="1203" applyNumberFormat="1" applyFont="1" applyFill="1" applyBorder="1" applyAlignment="1" applyProtection="1">
      <alignment horizontal="center" vertical="center" wrapText="1"/>
    </xf>
    <xf numFmtId="3" fontId="8" fillId="5" borderId="1" xfId="1203" applyNumberFormat="1" applyFont="1" applyFill="1" applyBorder="1" applyAlignment="1" applyProtection="1">
      <alignment horizontal="center" vertical="center" wrapText="1"/>
    </xf>
    <xf numFmtId="1" fontId="8" fillId="0" borderId="0" xfId="1203" applyNumberFormat="1" applyFont="1" applyFill="1" applyBorder="1" applyAlignment="1" applyProtection="1">
      <alignment horizontal="center" wrapText="1"/>
    </xf>
    <xf numFmtId="0" fontId="90" fillId="0" borderId="0" xfId="1169" applyFont="1" applyFill="1" applyAlignment="1" applyProtection="1">
      <alignment horizontal="center" vertical="top"/>
    </xf>
    <xf numFmtId="1" fontId="8" fillId="0" borderId="0" xfId="1169" applyNumberFormat="1" applyFont="1" applyFill="1" applyAlignment="1" applyProtection="1">
      <alignment horizontal="center"/>
    </xf>
    <xf numFmtId="0" fontId="0" fillId="6" borderId="1" xfId="0" applyFill="1" applyBorder="1" applyAlignment="1" applyProtection="1">
      <alignment horizontal="center"/>
      <protection locked="0"/>
    </xf>
    <xf numFmtId="0" fontId="3" fillId="5" borderId="1" xfId="0" applyFont="1" applyFill="1" applyBorder="1" applyAlignment="1" applyProtection="1">
      <alignment horizontal="center"/>
    </xf>
    <xf numFmtId="0" fontId="90" fillId="0" borderId="0" xfId="1169" applyFont="1" applyAlignment="1" applyProtection="1">
      <alignment horizontal="center"/>
    </xf>
    <xf numFmtId="2" fontId="95" fillId="0" borderId="0" xfId="1169" applyNumberFormat="1" applyFont="1" applyFill="1" applyAlignment="1" applyProtection="1">
      <alignment horizontal="center" vertical="center"/>
    </xf>
    <xf numFmtId="2" fontId="106" fillId="0" borderId="0" xfId="1169" applyNumberFormat="1" applyFont="1" applyFill="1" applyAlignment="1" applyProtection="1">
      <alignment horizontal="center"/>
    </xf>
    <xf numFmtId="49" fontId="106" fillId="0" borderId="0" xfId="1169" applyNumberFormat="1" applyFont="1" applyFill="1" applyAlignment="1" applyProtection="1">
      <alignment horizontal="center" vertical="center"/>
    </xf>
    <xf numFmtId="0" fontId="6" fillId="5" borderId="1" xfId="1169" applyFont="1" applyFill="1" applyBorder="1" applyAlignment="1" applyProtection="1">
      <alignment horizontal="center" vertical="center" wrapText="1"/>
    </xf>
    <xf numFmtId="0" fontId="6" fillId="5" borderId="21" xfId="1169" applyFont="1" applyFill="1" applyBorder="1" applyAlignment="1" applyProtection="1">
      <alignment horizontal="center" vertical="center" wrapText="1"/>
    </xf>
    <xf numFmtId="0" fontId="6" fillId="5" borderId="28" xfId="1169" applyFont="1" applyFill="1" applyBorder="1" applyAlignment="1" applyProtection="1">
      <alignment horizontal="center" vertical="center" wrapText="1"/>
    </xf>
    <xf numFmtId="0" fontId="6" fillId="5" borderId="29" xfId="1169" applyFont="1" applyFill="1" applyBorder="1" applyAlignment="1" applyProtection="1">
      <alignment horizontal="center" vertical="center" wrapText="1"/>
    </xf>
    <xf numFmtId="0" fontId="102" fillId="5" borderId="1" xfId="1169" applyFont="1" applyFill="1" applyBorder="1" applyAlignment="1" applyProtection="1">
      <alignment horizontal="center" vertical="center" wrapText="1"/>
    </xf>
    <xf numFmtId="1" fontId="6" fillId="5" borderId="1" xfId="1169" applyNumberFormat="1" applyFont="1" applyFill="1" applyBorder="1" applyAlignment="1" applyProtection="1">
      <alignment horizontal="center" vertical="center" wrapText="1"/>
    </xf>
    <xf numFmtId="0" fontId="102" fillId="5" borderId="21" xfId="1169" applyFont="1" applyFill="1" applyBorder="1" applyAlignment="1" applyProtection="1">
      <alignment horizontal="center" vertical="center" wrapText="1"/>
    </xf>
    <xf numFmtId="0" fontId="102" fillId="5" borderId="29" xfId="1169" applyFont="1" applyFill="1" applyBorder="1" applyAlignment="1" applyProtection="1">
      <alignment horizontal="center" vertical="center" wrapText="1"/>
    </xf>
    <xf numFmtId="49" fontId="6" fillId="5" borderId="5" xfId="1169" applyNumberFormat="1" applyFont="1" applyFill="1" applyBorder="1" applyAlignment="1" applyProtection="1">
      <alignment horizontal="center" vertical="center" wrapText="1"/>
    </xf>
    <xf numFmtId="49" fontId="6" fillId="5" borderId="27" xfId="1169" applyNumberFormat="1" applyFont="1" applyFill="1" applyBorder="1" applyAlignment="1" applyProtection="1">
      <alignment horizontal="center" vertical="center" wrapText="1"/>
    </xf>
    <xf numFmtId="0" fontId="6" fillId="5" borderId="26" xfId="1169" applyFont="1" applyFill="1" applyBorder="1" applyAlignment="1" applyProtection="1">
      <alignment horizontal="center" vertical="center" wrapText="1"/>
    </xf>
    <xf numFmtId="0" fontId="6" fillId="5" borderId="5" xfId="1169" applyFont="1" applyFill="1" applyBorder="1" applyAlignment="1" applyProtection="1">
      <alignment horizontal="center" vertical="center" wrapText="1"/>
    </xf>
    <xf numFmtId="0" fontId="6" fillId="5" borderId="27" xfId="1169" applyFont="1" applyFill="1" applyBorder="1" applyAlignment="1" applyProtection="1">
      <alignment horizontal="center" vertical="center" wrapText="1"/>
    </xf>
    <xf numFmtId="0" fontId="90" fillId="0" borderId="0" xfId="1169" applyFont="1" applyAlignment="1" applyProtection="1">
      <alignment horizontal="center" vertical="top"/>
    </xf>
    <xf numFmtId="1" fontId="93" fillId="0" borderId="0" xfId="1169" applyNumberFormat="1" applyFont="1" applyFill="1" applyAlignment="1" applyProtection="1">
      <alignment horizontal="center" vertical="center"/>
    </xf>
    <xf numFmtId="1" fontId="106" fillId="0" borderId="0" xfId="1169" applyNumberFormat="1" applyFont="1" applyFill="1" applyAlignment="1" applyProtection="1">
      <alignment horizontal="center"/>
    </xf>
    <xf numFmtId="0" fontId="102" fillId="5" borderId="21" xfId="1169" applyFont="1" applyFill="1" applyBorder="1" applyAlignment="1" applyProtection="1">
      <alignment horizontal="center" vertical="center" wrapText="1"/>
      <protection hidden="1"/>
    </xf>
    <xf numFmtId="0" fontId="102" fillId="5" borderId="28" xfId="1169" applyFont="1" applyFill="1" applyBorder="1" applyAlignment="1" applyProtection="1">
      <alignment horizontal="center" vertical="center" wrapText="1"/>
      <protection hidden="1"/>
    </xf>
    <xf numFmtId="0" fontId="102" fillId="5" borderId="29" xfId="1169" applyFont="1" applyFill="1" applyBorder="1" applyAlignment="1" applyProtection="1">
      <alignment horizontal="center" vertical="center" wrapText="1"/>
      <protection hidden="1"/>
    </xf>
    <xf numFmtId="0" fontId="102" fillId="5" borderId="1" xfId="1169" applyFont="1" applyFill="1" applyBorder="1" applyAlignment="1" applyProtection="1">
      <alignment horizontal="center" vertical="center"/>
      <protection hidden="1"/>
    </xf>
    <xf numFmtId="0" fontId="102" fillId="5" borderId="1" xfId="1169" applyFont="1" applyFill="1" applyBorder="1" applyAlignment="1" applyProtection="1">
      <alignment horizontal="center" vertical="distributed"/>
      <protection hidden="1"/>
    </xf>
    <xf numFmtId="0" fontId="102" fillId="5" borderId="1" xfId="1169" applyFont="1" applyFill="1" applyBorder="1" applyAlignment="1" applyProtection="1">
      <alignment horizontal="center" vertical="center" wrapText="1"/>
      <protection hidden="1"/>
    </xf>
    <xf numFmtId="0" fontId="8" fillId="0" borderId="0" xfId="1169" applyFont="1" applyAlignment="1" applyProtection="1">
      <alignment horizontal="center" vertical="top"/>
    </xf>
    <xf numFmtId="2" fontId="8" fillId="0" borderId="0" xfId="1169" applyNumberFormat="1" applyFont="1" applyFill="1" applyAlignment="1" applyProtection="1">
      <alignment horizontal="center"/>
    </xf>
    <xf numFmtId="0" fontId="5" fillId="5" borderId="1" xfId="1169" applyFont="1" applyFill="1" applyBorder="1" applyAlignment="1" applyProtection="1">
      <alignment horizontal="center" vertical="center" wrapText="1"/>
    </xf>
    <xf numFmtId="1" fontId="93" fillId="0" borderId="0" xfId="1169" applyNumberFormat="1" applyFont="1" applyFill="1" applyAlignment="1" applyProtection="1">
      <alignment horizontal="center" vertical="center" wrapText="1"/>
    </xf>
    <xf numFmtId="1" fontId="148" fillId="5" borderId="26" xfId="1169" applyNumberFormat="1" applyFont="1" applyFill="1" applyBorder="1" applyAlignment="1" applyProtection="1">
      <alignment horizontal="center" vertical="center" wrapText="1"/>
    </xf>
    <xf numFmtId="1" fontId="148" fillId="5" borderId="27" xfId="1169" applyNumberFormat="1" applyFont="1" applyFill="1" applyBorder="1" applyAlignment="1" applyProtection="1">
      <alignment horizontal="center" vertical="center" wrapText="1"/>
    </xf>
    <xf numFmtId="191" fontId="5" fillId="5" borderId="26" xfId="1169" applyNumberFormat="1" applyFont="1" applyFill="1" applyBorder="1" applyAlignment="1" applyProtection="1">
      <alignment horizontal="center" vertical="center" wrapText="1"/>
    </xf>
    <xf numFmtId="191" fontId="5" fillId="5" borderId="27" xfId="1169" applyNumberFormat="1" applyFont="1" applyFill="1" applyBorder="1" applyAlignment="1" applyProtection="1">
      <alignment horizontal="center" vertical="center" wrapText="1"/>
    </xf>
    <xf numFmtId="0" fontId="8" fillId="5" borderId="1" xfId="1169" applyFont="1" applyFill="1" applyBorder="1" applyAlignment="1" applyProtection="1">
      <alignment horizontal="center" vertical="center" wrapText="1"/>
    </xf>
    <xf numFmtId="0" fontId="8" fillId="0" borderId="0" xfId="1440" applyFont="1" applyFill="1" applyBorder="1" applyAlignment="1" applyProtection="1">
      <alignment horizontal="center" vertical="center" wrapText="1"/>
    </xf>
    <xf numFmtId="0" fontId="90" fillId="0" borderId="0" xfId="1203" applyFont="1" applyFill="1" applyBorder="1" applyAlignment="1" applyProtection="1">
      <alignment horizontal="center" vertical="center"/>
    </xf>
    <xf numFmtId="0" fontId="90" fillId="0" borderId="0" xfId="1203" applyFont="1" applyFill="1" applyBorder="1" applyAlignment="1" applyProtection="1">
      <alignment horizontal="center" vertical="center"/>
      <protection locked="0"/>
    </xf>
    <xf numFmtId="0" fontId="8" fillId="5" borderId="1" xfId="1440" applyFont="1" applyFill="1" applyBorder="1" applyAlignment="1" applyProtection="1">
      <alignment horizontal="center" vertical="center" wrapText="1"/>
    </xf>
    <xf numFmtId="0" fontId="160" fillId="5" borderId="21" xfId="1203" applyFont="1" applyFill="1" applyBorder="1" applyAlignment="1" applyProtection="1">
      <alignment horizontal="center"/>
    </xf>
    <xf numFmtId="0" fontId="160" fillId="5" borderId="28" xfId="1203" applyFont="1" applyFill="1" applyBorder="1" applyAlignment="1" applyProtection="1">
      <alignment horizontal="center"/>
    </xf>
    <xf numFmtId="0" fontId="160" fillId="5" borderId="21" xfId="1203" applyFont="1" applyFill="1" applyBorder="1" applyAlignment="1" applyProtection="1">
      <alignment horizontal="center" vertical="center" wrapText="1"/>
    </xf>
    <xf numFmtId="0" fontId="160" fillId="5" borderId="28" xfId="1203" applyFont="1" applyFill="1" applyBorder="1" applyAlignment="1" applyProtection="1">
      <alignment horizontal="center" vertical="center" wrapText="1"/>
    </xf>
    <xf numFmtId="49" fontId="92" fillId="5" borderId="26" xfId="1203" applyNumberFormat="1" applyFont="1" applyFill="1" applyBorder="1" applyAlignment="1" applyProtection="1">
      <alignment horizontal="right" vertical="center" wrapText="1"/>
    </xf>
    <xf numFmtId="49" fontId="92" fillId="5" borderId="27" xfId="1203" applyNumberFormat="1" applyFont="1" applyFill="1" applyBorder="1" applyAlignment="1" applyProtection="1">
      <alignment horizontal="right" vertical="center" wrapText="1"/>
    </xf>
    <xf numFmtId="0" fontId="8" fillId="5" borderId="21" xfId="1169" applyFont="1" applyFill="1" applyBorder="1" applyAlignment="1" applyProtection="1">
      <alignment horizontal="center" vertical="center" wrapText="1"/>
    </xf>
    <xf numFmtId="0" fontId="8" fillId="5" borderId="28" xfId="1169" applyFont="1" applyFill="1" applyBorder="1" applyAlignment="1" applyProtection="1">
      <alignment horizontal="center" vertical="center" wrapText="1"/>
    </xf>
    <xf numFmtId="0" fontId="8" fillId="5" borderId="29" xfId="1169" applyFont="1" applyFill="1" applyBorder="1" applyAlignment="1" applyProtection="1">
      <alignment horizontal="center" vertical="center" wrapText="1"/>
    </xf>
    <xf numFmtId="1" fontId="160" fillId="5" borderId="21" xfId="1203" applyNumberFormat="1" applyFont="1" applyFill="1" applyBorder="1" applyAlignment="1" applyProtection="1">
      <alignment horizontal="center" vertical="center" wrapText="1"/>
    </xf>
    <xf numFmtId="1" fontId="160" fillId="5" borderId="28" xfId="1203" applyNumberFormat="1" applyFont="1" applyFill="1" applyBorder="1" applyAlignment="1" applyProtection="1">
      <alignment horizontal="center" vertical="center" wrapText="1"/>
    </xf>
    <xf numFmtId="0" fontId="160" fillId="5" borderId="1" xfId="1169" applyFont="1" applyFill="1" applyBorder="1" applyAlignment="1" applyProtection="1">
      <alignment horizontal="center" vertical="center" wrapText="1"/>
    </xf>
    <xf numFmtId="0" fontId="160" fillId="3" borderId="26" xfId="1169" applyFont="1" applyFill="1" applyBorder="1" applyAlignment="1" applyProtection="1">
      <alignment horizontal="left" vertical="center" wrapText="1"/>
    </xf>
    <xf numFmtId="0" fontId="160" fillId="3" borderId="5" xfId="1169" applyFont="1" applyFill="1" applyBorder="1" applyAlignment="1" applyProtection="1">
      <alignment horizontal="left" vertical="center" wrapText="1"/>
    </xf>
    <xf numFmtId="0" fontId="160" fillId="3" borderId="27" xfId="1169" applyFont="1" applyFill="1" applyBorder="1" applyAlignment="1" applyProtection="1">
      <alignment horizontal="left" vertical="center" wrapText="1"/>
    </xf>
    <xf numFmtId="0" fontId="98" fillId="5" borderId="1" xfId="1169" applyFont="1" applyFill="1" applyBorder="1" applyAlignment="1" applyProtection="1">
      <alignment horizontal="center"/>
    </xf>
    <xf numFmtId="0" fontId="7" fillId="52" borderId="1" xfId="1169" applyFont="1" applyFill="1" applyBorder="1" applyAlignment="1" applyProtection="1">
      <alignment horizontal="center"/>
      <protection locked="0"/>
    </xf>
    <xf numFmtId="0" fontId="98" fillId="52" borderId="1" xfId="1169" applyFont="1" applyFill="1" applyBorder="1" applyAlignment="1" applyProtection="1">
      <alignment horizontal="center"/>
      <protection locked="0"/>
    </xf>
    <xf numFmtId="3" fontId="160" fillId="3" borderId="26" xfId="1169" applyNumberFormat="1" applyFont="1" applyFill="1" applyBorder="1" applyAlignment="1" applyProtection="1">
      <alignment horizontal="left" vertical="center" wrapText="1"/>
    </xf>
    <xf numFmtId="0" fontId="98" fillId="3" borderId="1" xfId="1169" applyFont="1" applyFill="1" applyBorder="1" applyAlignment="1" applyProtection="1">
      <alignment horizontal="center" vertical="center" wrapText="1"/>
    </xf>
    <xf numFmtId="0" fontId="7" fillId="48" borderId="1" xfId="1169" applyFont="1" applyFill="1" applyBorder="1" applyAlignment="1" applyProtection="1">
      <alignment horizontal="center"/>
      <protection locked="0"/>
    </xf>
    <xf numFmtId="0" fontId="98" fillId="6" borderId="1" xfId="1169" applyFont="1" applyFill="1" applyBorder="1" applyAlignment="1" applyProtection="1">
      <alignment horizontal="center"/>
      <protection locked="0"/>
    </xf>
    <xf numFmtId="0" fontId="98" fillId="3" borderId="2" xfId="1169" applyFont="1" applyFill="1" applyBorder="1" applyAlignment="1" applyProtection="1">
      <alignment horizontal="center" vertical="center" wrapText="1"/>
    </xf>
    <xf numFmtId="0" fontId="98" fillId="3" borderId="22" xfId="1169" applyFont="1" applyFill="1" applyBorder="1" applyAlignment="1" applyProtection="1">
      <alignment horizontal="center" vertical="center" wrapText="1"/>
    </xf>
    <xf numFmtId="0" fontId="98" fillId="3" borderId="23" xfId="1169" applyFont="1" applyFill="1" applyBorder="1" applyAlignment="1" applyProtection="1">
      <alignment horizontal="center" vertical="center" wrapText="1"/>
    </xf>
    <xf numFmtId="1" fontId="165" fillId="0" borderId="0" xfId="1203" applyNumberFormat="1" applyFont="1" applyFill="1" applyAlignment="1" applyProtection="1">
      <alignment horizontal="center"/>
    </xf>
    <xf numFmtId="1" fontId="160" fillId="0" borderId="0" xfId="1203" applyNumberFormat="1" applyFont="1" applyFill="1" applyAlignment="1" applyProtection="1">
      <alignment horizontal="center"/>
    </xf>
    <xf numFmtId="0" fontId="160" fillId="5" borderId="21" xfId="1203" applyFont="1" applyFill="1" applyBorder="1" applyAlignment="1" applyProtection="1">
      <alignment horizontal="center"/>
      <protection locked="0"/>
    </xf>
    <xf numFmtId="0" fontId="160" fillId="5" borderId="28" xfId="1203" applyFont="1" applyFill="1" applyBorder="1" applyAlignment="1" applyProtection="1">
      <alignment horizontal="center"/>
      <protection locked="0"/>
    </xf>
    <xf numFmtId="0" fontId="166" fillId="0" borderId="0" xfId="1203" applyFont="1" applyFill="1" applyBorder="1" applyAlignment="1" applyProtection="1">
      <alignment horizontal="center" vertical="center"/>
    </xf>
    <xf numFmtId="1" fontId="160" fillId="5" borderId="29" xfId="1203" applyNumberFormat="1" applyFont="1" applyFill="1" applyBorder="1" applyAlignment="1" applyProtection="1">
      <alignment horizontal="center" vertical="center" wrapText="1"/>
    </xf>
    <xf numFmtId="0" fontId="113" fillId="5" borderId="1" xfId="0" applyFont="1" applyFill="1" applyBorder="1" applyAlignment="1" applyProtection="1">
      <alignment horizontal="center" vertical="center"/>
    </xf>
    <xf numFmtId="0" fontId="8" fillId="0" borderId="0" xfId="1169" applyFont="1" applyFill="1" applyAlignment="1" applyProtection="1">
      <alignment horizontal="center" vertical="center" wrapText="1"/>
    </xf>
    <xf numFmtId="2" fontId="93" fillId="0" borderId="0" xfId="1169" applyNumberFormat="1" applyFont="1" applyFill="1" applyAlignment="1" applyProtection="1">
      <alignment horizontal="center"/>
    </xf>
    <xf numFmtId="0" fontId="8" fillId="0" borderId="0" xfId="1169" applyFont="1" applyFill="1" applyAlignment="1" applyProtection="1">
      <alignment horizontal="center"/>
    </xf>
    <xf numFmtId="1" fontId="8" fillId="5" borderId="82" xfId="1203" applyNumberFormat="1" applyFont="1" applyFill="1" applyBorder="1" applyAlignment="1" applyProtection="1">
      <alignment horizontal="center" vertical="center" wrapText="1"/>
    </xf>
    <xf numFmtId="1" fontId="8" fillId="5" borderId="82" xfId="1203" applyNumberFormat="1" applyFont="1" applyFill="1" applyBorder="1" applyAlignment="1" applyProtection="1">
      <alignment horizontal="center" vertical="center" wrapText="1"/>
      <protection locked="0"/>
    </xf>
    <xf numFmtId="1" fontId="8" fillId="5" borderId="29" xfId="1203" applyNumberFormat="1" applyFont="1" applyFill="1" applyBorder="1" applyAlignment="1" applyProtection="1">
      <alignment horizontal="center" vertical="center" wrapText="1"/>
      <protection locked="0"/>
    </xf>
    <xf numFmtId="0" fontId="8" fillId="0" borderId="0" xfId="1169" applyFont="1" applyAlignment="1" applyProtection="1">
      <alignment horizontal="center" vertical="top" wrapText="1"/>
    </xf>
    <xf numFmtId="0" fontId="3" fillId="5" borderId="1" xfId="0" applyFont="1" applyFill="1" applyBorder="1" applyAlignment="1" applyProtection="1">
      <alignment horizontal="center" vertical="center" wrapText="1"/>
    </xf>
    <xf numFmtId="0" fontId="102" fillId="0" borderId="1" xfId="1169" applyFont="1" applyFill="1" applyBorder="1" applyAlignment="1" applyProtection="1">
      <alignment horizontal="left" vertical="center" wrapText="1"/>
    </xf>
    <xf numFmtId="4" fontId="7" fillId="0" borderId="26" xfId="1169" applyNumberFormat="1" applyFont="1" applyFill="1" applyBorder="1" applyAlignment="1" applyProtection="1">
      <alignment horizontal="center" vertical="center" wrapText="1"/>
    </xf>
    <xf numFmtId="4" fontId="7" fillId="0" borderId="27" xfId="1169" applyNumberFormat="1" applyFont="1" applyFill="1" applyBorder="1" applyAlignment="1" applyProtection="1">
      <alignment horizontal="center" vertical="center" wrapText="1"/>
    </xf>
    <xf numFmtId="4" fontId="7" fillId="0" borderId="1" xfId="1169" applyNumberFormat="1" applyFont="1" applyFill="1" applyBorder="1" applyAlignment="1" applyProtection="1">
      <alignment horizontal="center" vertical="center" wrapText="1"/>
    </xf>
    <xf numFmtId="0" fontId="116" fillId="0" borderId="1" xfId="1169" applyFont="1" applyFill="1" applyBorder="1" applyAlignment="1" applyProtection="1">
      <alignment horizontal="center" vertical="center" wrapText="1"/>
    </xf>
    <xf numFmtId="0" fontId="102" fillId="0" borderId="1" xfId="1169" applyFont="1" applyFill="1" applyBorder="1" applyAlignment="1" applyProtection="1">
      <alignment horizontal="center" vertical="center" wrapText="1"/>
    </xf>
    <xf numFmtId="0" fontId="115" fillId="0" borderId="0" xfId="1169" applyFont="1" applyFill="1" applyAlignment="1" applyProtection="1">
      <alignment horizontal="left" vertical="center" wrapText="1"/>
    </xf>
    <xf numFmtId="4" fontId="7" fillId="52" borderId="26" xfId="1204" applyNumberFormat="1" applyFont="1" applyFill="1" applyBorder="1" applyAlignment="1" applyProtection="1">
      <alignment horizontal="center" vertical="center" wrapText="1"/>
      <protection locked="0"/>
    </xf>
    <xf numFmtId="4" fontId="7" fillId="52" borderId="27" xfId="1204" applyNumberFormat="1" applyFont="1" applyFill="1" applyBorder="1" applyAlignment="1" applyProtection="1">
      <alignment horizontal="center" vertical="center" wrapText="1"/>
      <protection locked="0"/>
    </xf>
    <xf numFmtId="4" fontId="116" fillId="0" borderId="1" xfId="1169" applyNumberFormat="1" applyFont="1" applyBorder="1" applyAlignment="1" applyProtection="1">
      <alignment horizontal="center" vertical="center" wrapText="1"/>
    </xf>
    <xf numFmtId="0" fontId="116" fillId="0" borderId="1" xfId="1169" applyFont="1" applyBorder="1" applyAlignment="1" applyProtection="1">
      <alignment horizontal="center" vertical="center" wrapText="1"/>
    </xf>
    <xf numFmtId="4" fontId="115" fillId="0" borderId="26" xfId="1169" applyNumberFormat="1" applyFont="1" applyBorder="1" applyAlignment="1" applyProtection="1">
      <alignment horizontal="center" vertical="center" wrapText="1"/>
    </xf>
    <xf numFmtId="4" fontId="115" fillId="0" borderId="27" xfId="1169" applyNumberFormat="1" applyFont="1" applyBorder="1" applyAlignment="1" applyProtection="1">
      <alignment horizontal="center" vertical="center" wrapText="1"/>
    </xf>
    <xf numFmtId="2" fontId="93" fillId="0" borderId="0" xfId="1169" applyNumberFormat="1" applyFont="1" applyAlignment="1" applyProtection="1">
      <alignment horizontal="center"/>
    </xf>
    <xf numFmtId="0" fontId="93" fillId="0" borderId="0" xfId="1169" applyFont="1" applyAlignment="1" applyProtection="1">
      <alignment horizontal="center"/>
    </xf>
    <xf numFmtId="0" fontId="102" fillId="0" borderId="1" xfId="1169" applyFont="1" applyBorder="1" applyAlignment="1" applyProtection="1">
      <alignment horizontal="left" vertical="center" wrapText="1"/>
    </xf>
    <xf numFmtId="2" fontId="93" fillId="0" borderId="0" xfId="1169" applyNumberFormat="1" applyFont="1" applyAlignment="1" applyProtection="1">
      <alignment horizontal="center" wrapText="1"/>
    </xf>
    <xf numFmtId="0" fontId="93" fillId="0" borderId="0" xfId="1169" applyFont="1" applyAlignment="1" applyProtection="1">
      <alignment horizontal="center" wrapText="1"/>
    </xf>
    <xf numFmtId="0" fontId="116" fillId="0" borderId="26" xfId="1169" applyFont="1" applyBorder="1" applyAlignment="1" applyProtection="1">
      <alignment horizontal="center" vertical="center" wrapText="1"/>
    </xf>
    <xf numFmtId="0" fontId="116" fillId="0" borderId="27" xfId="1169" applyFont="1" applyBorder="1" applyAlignment="1" applyProtection="1">
      <alignment horizontal="center" vertical="center" wrapText="1"/>
    </xf>
    <xf numFmtId="4" fontId="7" fillId="0" borderId="26" xfId="1169" applyNumberFormat="1" applyFont="1" applyBorder="1" applyAlignment="1" applyProtection="1">
      <alignment horizontal="center" vertical="center" wrapText="1"/>
    </xf>
    <xf numFmtId="4" fontId="7" fillId="0" borderId="27" xfId="1169" applyNumberFormat="1" applyFont="1" applyBorder="1" applyAlignment="1" applyProtection="1">
      <alignment horizontal="center" vertical="center" wrapText="1"/>
    </xf>
    <xf numFmtId="0" fontId="102" fillId="0" borderId="1" xfId="1169" applyFont="1" applyBorder="1" applyAlignment="1" applyProtection="1">
      <alignment horizontal="center" vertical="center" wrapText="1"/>
    </xf>
    <xf numFmtId="0" fontId="115" fillId="0" borderId="0" xfId="1169" applyFont="1" applyAlignment="1" applyProtection="1">
      <alignment horizontal="left" vertical="center" wrapText="1"/>
    </xf>
    <xf numFmtId="0" fontId="5" fillId="0" borderId="0" xfId="1169" applyFont="1" applyAlignment="1" applyProtection="1">
      <alignment vertical="center"/>
    </xf>
    <xf numFmtId="0" fontId="139" fillId="0" borderId="0" xfId="1169" applyFont="1" applyAlignment="1" applyProtection="1">
      <alignment vertical="center" wrapText="1"/>
      <protection locked="0"/>
    </xf>
    <xf numFmtId="0" fontId="5" fillId="0" borderId="0" xfId="1169" applyFont="1" applyAlignment="1" applyProtection="1">
      <alignment vertical="center" wrapText="1"/>
      <protection locked="0"/>
    </xf>
    <xf numFmtId="4" fontId="7" fillId="0" borderId="5" xfId="1169" applyNumberFormat="1" applyFont="1" applyBorder="1" applyAlignment="1" applyProtection="1">
      <alignment horizontal="center" vertical="center" wrapText="1"/>
    </xf>
    <xf numFmtId="0" fontId="116" fillId="0" borderId="5" xfId="1169" applyFont="1" applyBorder="1" applyAlignment="1" applyProtection="1">
      <alignment horizontal="center" vertical="center" wrapText="1"/>
    </xf>
    <xf numFmtId="0" fontId="5" fillId="0" borderId="0" xfId="1169" applyFont="1" applyFill="1" applyAlignment="1" applyProtection="1">
      <alignment vertical="center"/>
    </xf>
    <xf numFmtId="0" fontId="115" fillId="0" borderId="1" xfId="1169" applyFont="1" applyBorder="1" applyAlignment="1" applyProtection="1">
      <alignment horizontal="center" vertical="center" wrapText="1"/>
    </xf>
    <xf numFmtId="0" fontId="5" fillId="0" borderId="0" xfId="1169" applyFont="1" applyBorder="1" applyAlignment="1" applyProtection="1">
      <alignment vertical="center" wrapText="1"/>
    </xf>
    <xf numFmtId="0" fontId="5" fillId="0" borderId="0" xfId="1169" applyFont="1" applyFill="1" applyBorder="1" applyAlignment="1" applyProtection="1">
      <alignment vertical="center" wrapText="1"/>
    </xf>
    <xf numFmtId="0" fontId="115" fillId="0" borderId="26" xfId="1169" applyFont="1" applyFill="1" applyBorder="1" applyAlignment="1" applyProtection="1">
      <alignment horizontal="center" vertical="center" wrapText="1"/>
    </xf>
    <xf numFmtId="0" fontId="115" fillId="0" borderId="5" xfId="1169" applyFont="1" applyFill="1" applyBorder="1" applyAlignment="1" applyProtection="1">
      <alignment horizontal="center" vertical="center" wrapText="1"/>
    </xf>
    <xf numFmtId="0" fontId="115" fillId="0" borderId="27" xfId="1169" applyFont="1" applyFill="1" applyBorder="1" applyAlignment="1" applyProtection="1">
      <alignment horizontal="center" vertical="center" wrapText="1"/>
    </xf>
    <xf numFmtId="0" fontId="5" fillId="0" borderId="0" xfId="1169" applyFont="1" applyBorder="1" applyProtection="1"/>
    <xf numFmtId="0" fontId="5" fillId="0" borderId="0" xfId="1169" applyFont="1" applyFill="1" applyBorder="1" applyProtection="1"/>
    <xf numFmtId="0" fontId="115" fillId="0" borderId="1" xfId="1169" applyFont="1" applyBorder="1" applyAlignment="1" applyProtection="1">
      <alignment vertical="center" wrapText="1"/>
    </xf>
    <xf numFmtId="0" fontId="5" fillId="0" borderId="0" xfId="1169" applyFont="1" applyBorder="1" applyProtection="1">
      <protection locked="0"/>
    </xf>
    <xf numFmtId="0" fontId="5" fillId="0" borderId="40" xfId="1169" applyFont="1" applyFill="1" applyBorder="1" applyProtection="1">
      <protection locked="0"/>
    </xf>
    <xf numFmtId="2" fontId="116" fillId="0" borderId="1" xfId="1169" applyNumberFormat="1" applyFont="1" applyBorder="1" applyAlignment="1" applyProtection="1">
      <alignment horizontal="center" vertical="center" wrapText="1"/>
    </xf>
    <xf numFmtId="0" fontId="109" fillId="0" borderId="1" xfId="1169" applyFont="1" applyBorder="1" applyAlignment="1" applyProtection="1">
      <alignment horizontal="center" vertical="center" wrapText="1"/>
    </xf>
    <xf numFmtId="0" fontId="5" fillId="0" borderId="0" xfId="1169" applyFont="1" applyBorder="1" applyAlignment="1" applyProtection="1">
      <alignment vertical="center"/>
    </xf>
    <xf numFmtId="0" fontId="5" fillId="0" borderId="38" xfId="1169" applyFont="1" applyFill="1" applyBorder="1" applyAlignment="1" applyProtection="1">
      <alignment vertical="center"/>
    </xf>
    <xf numFmtId="0" fontId="5" fillId="0" borderId="38" xfId="1169" applyFont="1" applyFill="1" applyBorder="1" applyProtection="1"/>
    <xf numFmtId="0" fontId="7" fillId="0" borderId="1" xfId="1169" applyFont="1" applyBorder="1" applyAlignment="1" applyProtection="1">
      <alignment horizontal="left" vertical="center" wrapText="1"/>
    </xf>
    <xf numFmtId="0" fontId="142" fillId="0" borderId="1" xfId="1169" applyFont="1" applyFill="1" applyBorder="1" applyAlignment="1" applyProtection="1">
      <alignment horizontal="center" vertical="center" wrapText="1"/>
    </xf>
    <xf numFmtId="1" fontId="142" fillId="0" borderId="1" xfId="1169" applyNumberFormat="1" applyFont="1" applyFill="1" applyBorder="1" applyAlignment="1" applyProtection="1">
      <alignment horizontal="center" vertical="center" wrapText="1"/>
    </xf>
    <xf numFmtId="4" fontId="142" fillId="0" borderId="26" xfId="1169" applyNumberFormat="1" applyFont="1" applyFill="1" applyBorder="1" applyAlignment="1" applyProtection="1">
      <alignment horizontal="center" vertical="center"/>
    </xf>
    <xf numFmtId="0" fontId="142" fillId="0" borderId="27" xfId="1169" applyFont="1" applyFill="1" applyBorder="1" applyAlignment="1" applyProtection="1">
      <alignment horizontal="center" vertical="center"/>
    </xf>
    <xf numFmtId="0" fontId="7" fillId="0" borderId="1" xfId="1169" applyFont="1" applyFill="1" applyBorder="1" applyAlignment="1" applyProtection="1">
      <alignment horizontal="center" vertical="center" wrapText="1"/>
    </xf>
    <xf numFmtId="0" fontId="142" fillId="0" borderId="1" xfId="1169" applyFont="1" applyBorder="1" applyAlignment="1" applyProtection="1">
      <alignment horizontal="center" vertical="center" wrapText="1"/>
    </xf>
    <xf numFmtId="4" fontId="131" fillId="0" borderId="1" xfId="1204" applyNumberFormat="1" applyFont="1" applyFill="1" applyBorder="1" applyAlignment="1" applyProtection="1">
      <alignment horizontal="center" vertical="center" wrapText="1"/>
    </xf>
    <xf numFmtId="0" fontId="7" fillId="0" borderId="1" xfId="1169" applyFont="1" applyFill="1" applyBorder="1" applyAlignment="1" applyProtection="1">
      <alignment vertical="center" wrapText="1"/>
    </xf>
    <xf numFmtId="0" fontId="7" fillId="0" borderId="0" xfId="1169" applyFont="1" applyAlignment="1" applyProtection="1">
      <alignment wrapText="1"/>
    </xf>
    <xf numFmtId="0" fontId="7" fillId="0" borderId="0" xfId="1169" applyFont="1" applyAlignment="1" applyProtection="1">
      <alignment horizontal="center" wrapText="1"/>
    </xf>
    <xf numFmtId="0" fontId="7" fillId="0" borderId="0" xfId="1169" applyFont="1" applyFill="1" applyBorder="1" applyProtection="1"/>
    <xf numFmtId="0" fontId="141" fillId="0" borderId="0" xfId="1169" applyFont="1" applyFill="1" applyAlignment="1" applyProtection="1">
      <alignment horizontal="left" vertical="center" wrapText="1"/>
    </xf>
    <xf numFmtId="0" fontId="141" fillId="0" borderId="1" xfId="1169" applyFont="1" applyFill="1" applyBorder="1" applyAlignment="1" applyProtection="1">
      <alignment vertical="center" wrapText="1"/>
    </xf>
    <xf numFmtId="2" fontId="142" fillId="0" borderId="1" xfId="1169" applyNumberFormat="1" applyFont="1" applyFill="1" applyBorder="1" applyAlignment="1" applyProtection="1">
      <alignment horizontal="center" vertical="center" wrapText="1"/>
    </xf>
    <xf numFmtId="0" fontId="141" fillId="0" borderId="26" xfId="1169" applyFont="1" applyFill="1" applyBorder="1" applyAlignment="1" applyProtection="1">
      <alignment vertical="center" wrapText="1"/>
    </xf>
    <xf numFmtId="0" fontId="141" fillId="0" borderId="27" xfId="1169" applyFont="1" applyFill="1" applyBorder="1" applyAlignment="1" applyProtection="1">
      <alignment vertical="center" wrapText="1"/>
    </xf>
    <xf numFmtId="14" fontId="142" fillId="0" borderId="5" xfId="1169" applyNumberFormat="1" applyFont="1" applyFill="1" applyBorder="1" applyAlignment="1" applyProtection="1">
      <alignment horizontal="left" vertical="center" wrapText="1"/>
    </xf>
    <xf numFmtId="14" fontId="142" fillId="0" borderId="27" xfId="1169" applyNumberFormat="1" applyFont="1" applyFill="1" applyBorder="1" applyAlignment="1" applyProtection="1">
      <alignment horizontal="left" vertical="center" wrapText="1"/>
    </xf>
    <xf numFmtId="0" fontId="7" fillId="0" borderId="0" xfId="1169" applyFont="1" applyFill="1" applyBorder="1" applyAlignment="1" applyProtection="1">
      <alignment vertical="center"/>
    </xf>
    <xf numFmtId="0" fontId="0" fillId="0" borderId="0" xfId="0" applyFont="1" applyFill="1" applyAlignment="1" applyProtection="1">
      <alignment horizontal="right"/>
    </xf>
    <xf numFmtId="0" fontId="8" fillId="0" borderId="21" xfId="1203" applyFont="1" applyFill="1" applyBorder="1" applyAlignment="1" applyProtection="1">
      <alignment horizontal="center" vertical="center" wrapText="1"/>
    </xf>
    <xf numFmtId="0" fontId="8" fillId="0" borderId="29" xfId="1203" applyFont="1" applyFill="1" applyBorder="1" applyAlignment="1" applyProtection="1">
      <alignment horizontal="center" vertical="center" wrapText="1"/>
    </xf>
    <xf numFmtId="3" fontId="8" fillId="0" borderId="1" xfId="1203" applyNumberFormat="1" applyFont="1" applyFill="1" applyBorder="1" applyAlignment="1" applyProtection="1">
      <alignment horizontal="center" vertical="center" wrapText="1"/>
    </xf>
    <xf numFmtId="0" fontId="8" fillId="0" borderId="0" xfId="1169" applyFont="1" applyFill="1" applyAlignment="1" applyProtection="1">
      <alignment horizontal="center" vertical="top" wrapText="1"/>
    </xf>
    <xf numFmtId="0" fontId="99" fillId="5" borderId="21" xfId="1169" applyFont="1" applyFill="1" applyBorder="1" applyAlignment="1" applyProtection="1">
      <alignment horizontal="center" vertical="center" wrapText="1"/>
    </xf>
    <xf numFmtId="0" fontId="99" fillId="5" borderId="29" xfId="1169" applyFont="1" applyFill="1" applyBorder="1" applyAlignment="1" applyProtection="1">
      <alignment horizontal="center" vertical="center" wrapText="1"/>
    </xf>
    <xf numFmtId="0" fontId="100" fillId="5" borderId="21" xfId="1169" applyFont="1" applyFill="1" applyBorder="1" applyAlignment="1" applyProtection="1">
      <alignment horizontal="center" vertical="center"/>
    </xf>
    <xf numFmtId="0" fontId="100" fillId="5" borderId="28" xfId="1169" applyFont="1" applyFill="1" applyBorder="1" applyAlignment="1" applyProtection="1">
      <alignment horizontal="center" vertical="center"/>
    </xf>
    <xf numFmtId="0" fontId="100" fillId="5" borderId="29" xfId="1169" applyFont="1" applyFill="1" applyBorder="1" applyAlignment="1" applyProtection="1">
      <alignment horizontal="center" vertical="center"/>
    </xf>
    <xf numFmtId="0" fontId="8" fillId="5" borderId="21" xfId="1169" applyFont="1" applyFill="1" applyBorder="1" applyAlignment="1" applyProtection="1">
      <alignment horizontal="center" vertical="distributed"/>
    </xf>
    <xf numFmtId="0" fontId="8" fillId="5" borderId="28" xfId="1169" applyFont="1" applyFill="1" applyBorder="1" applyAlignment="1" applyProtection="1">
      <alignment horizontal="center" vertical="distributed"/>
    </xf>
    <xf numFmtId="0" fontId="8" fillId="5" borderId="29" xfId="1169" applyFont="1" applyFill="1" applyBorder="1" applyAlignment="1" applyProtection="1">
      <alignment horizontal="center" vertical="distributed"/>
    </xf>
    <xf numFmtId="0" fontId="99" fillId="0" borderId="4" xfId="1203" applyFont="1" applyFill="1" applyBorder="1" applyAlignment="1" applyProtection="1">
      <alignment horizontal="right" vertical="center" wrapText="1"/>
    </xf>
    <xf numFmtId="0" fontId="99" fillId="0" borderId="0" xfId="1203" applyFont="1" applyFill="1" applyBorder="1" applyAlignment="1" applyProtection="1">
      <alignment horizontal="right" vertical="center" wrapText="1"/>
    </xf>
    <xf numFmtId="1" fontId="111" fillId="0" borderId="0" xfId="1203" applyNumberFormat="1" applyFont="1" applyFill="1" applyBorder="1" applyAlignment="1" applyProtection="1">
      <alignment horizontal="center" vertical="center" wrapText="1"/>
    </xf>
    <xf numFmtId="1" fontId="111" fillId="0" borderId="24" xfId="1203" applyNumberFormat="1" applyFont="1" applyFill="1" applyBorder="1" applyAlignment="1" applyProtection="1">
      <alignment horizontal="center" vertical="center" wrapText="1"/>
    </xf>
    <xf numFmtId="1" fontId="111" fillId="0" borderId="3" xfId="1203" applyNumberFormat="1" applyFont="1" applyFill="1" applyBorder="1" applyAlignment="1" applyProtection="1">
      <alignment horizontal="center" vertical="center" wrapText="1"/>
    </xf>
    <xf numFmtId="3" fontId="7" fillId="0" borderId="0" xfId="1169" applyNumberFormat="1" applyAlignment="1" applyProtection="1">
      <alignment horizontal="center"/>
    </xf>
    <xf numFmtId="1" fontId="7" fillId="0" borderId="1" xfId="1169" applyNumberFormat="1" applyBorder="1" applyAlignment="1" applyProtection="1">
      <alignment horizontal="center" vertical="center"/>
    </xf>
    <xf numFmtId="1" fontId="7" fillId="0" borderId="1" xfId="1169" applyNumberFormat="1" applyBorder="1" applyAlignment="1" applyProtection="1">
      <alignment horizontal="center" vertical="center" wrapText="1"/>
    </xf>
    <xf numFmtId="49" fontId="7" fillId="0" borderId="1" xfId="1169" applyNumberFormat="1" applyBorder="1" applyAlignment="1" applyProtection="1">
      <alignment horizontal="center" vertical="center" wrapText="1"/>
    </xf>
    <xf numFmtId="0" fontId="7" fillId="0" borderId="1" xfId="1169" applyBorder="1" applyAlignment="1" applyProtection="1">
      <alignment horizontal="center" vertical="center" wrapText="1"/>
    </xf>
    <xf numFmtId="0" fontId="8" fillId="2" borderId="21" xfId="1203" applyFont="1" applyFill="1" applyBorder="1" applyAlignment="1" applyProtection="1">
      <alignment horizontal="center" vertical="center" wrapText="1"/>
    </xf>
    <xf numFmtId="0" fontId="8" fillId="2" borderId="29" xfId="1203" applyFont="1" applyFill="1" applyBorder="1" applyAlignment="1" applyProtection="1">
      <alignment horizontal="center" vertical="center" wrapText="1"/>
    </xf>
    <xf numFmtId="3" fontId="8" fillId="2" borderId="1" xfId="1203"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1" fontId="8" fillId="5" borderId="82" xfId="1450" applyNumberFormat="1" applyFont="1" applyFill="1" applyBorder="1" applyAlignment="1" applyProtection="1">
      <alignment horizontal="center" vertical="center" wrapText="1"/>
    </xf>
    <xf numFmtId="1" fontId="8" fillId="5" borderId="29" xfId="1450" applyNumberFormat="1" applyFont="1" applyFill="1" applyBorder="1" applyAlignment="1" applyProtection="1">
      <alignment horizontal="center" vertical="center" wrapText="1"/>
    </xf>
    <xf numFmtId="0" fontId="8" fillId="0" borderId="0" xfId="1169" applyFont="1" applyAlignment="1" applyProtection="1">
      <alignment horizontal="center" vertical="center"/>
    </xf>
    <xf numFmtId="0" fontId="98" fillId="3" borderId="81" xfId="1169" applyFont="1" applyFill="1" applyBorder="1" applyAlignment="1" applyProtection="1">
      <alignment horizontal="center" vertical="center" wrapText="1"/>
    </xf>
    <xf numFmtId="0" fontId="98" fillId="3" borderId="81" xfId="1169" applyFont="1" applyFill="1" applyBorder="1" applyAlignment="1" applyProtection="1">
      <alignment horizontal="center" vertical="center" wrapText="1"/>
    </xf>
    <xf numFmtId="4" fontId="98" fillId="3" borderId="81" xfId="1169" applyNumberFormat="1" applyFont="1" applyFill="1" applyBorder="1" applyAlignment="1" applyProtection="1">
      <alignment horizontal="center" vertical="center" wrapText="1"/>
    </xf>
    <xf numFmtId="0" fontId="8" fillId="5" borderId="81" xfId="1169" applyFont="1" applyFill="1" applyBorder="1" applyAlignment="1" applyProtection="1">
      <alignment horizontal="center" vertical="center" wrapText="1"/>
    </xf>
  </cellXfs>
  <cellStyles count="1647">
    <cellStyle name=" 1" xfId="5"/>
    <cellStyle name="%" xfId="6"/>
    <cellStyle name="%_Inputs" xfId="7"/>
    <cellStyle name="%_Inputs (const)" xfId="8"/>
    <cellStyle name="%_Inputs Co" xfId="9"/>
    <cellStyle name="_~6099726" xfId="1455"/>
    <cellStyle name="_FFF" xfId="1456"/>
    <cellStyle name="_FFF_New Form10_2" xfId="1457"/>
    <cellStyle name="_FFF_Nsi" xfId="1458"/>
    <cellStyle name="_FFF_Nsi_1" xfId="1459"/>
    <cellStyle name="_FFF_Nsi_139" xfId="1460"/>
    <cellStyle name="_FFF_Nsi_140" xfId="1461"/>
    <cellStyle name="_FFF_Nsi_140(Зах)" xfId="1462"/>
    <cellStyle name="_FFF_Nsi_140_mod" xfId="1463"/>
    <cellStyle name="_FFF_Summary" xfId="1464"/>
    <cellStyle name="_FFF_Tax_form_1кв_3" xfId="1465"/>
    <cellStyle name="_FFF_БКЭ" xfId="1466"/>
    <cellStyle name="_Final_Book_010301" xfId="1467"/>
    <cellStyle name="_Final_Book_010301_New Form10_2" xfId="1468"/>
    <cellStyle name="_Final_Book_010301_Nsi" xfId="1469"/>
    <cellStyle name="_Final_Book_010301_Nsi_1" xfId="1470"/>
    <cellStyle name="_Final_Book_010301_Nsi_139" xfId="1471"/>
    <cellStyle name="_Final_Book_010301_Nsi_140" xfId="1472"/>
    <cellStyle name="_Final_Book_010301_Nsi_140(Зах)" xfId="1473"/>
    <cellStyle name="_Final_Book_010301_Nsi_140_mod" xfId="1474"/>
    <cellStyle name="_Final_Book_010301_Summary" xfId="1475"/>
    <cellStyle name="_Final_Book_010301_Tax_form_1кв_3" xfId="1476"/>
    <cellStyle name="_Final_Book_010301_БКЭ" xfId="1477"/>
    <cellStyle name="_model" xfId="1478"/>
    <cellStyle name="_Model_RAB Мой" xfId="10"/>
    <cellStyle name="_Model_RAB Мой_46EE.2011(v1.0)" xfId="11"/>
    <cellStyle name="_Model_RAB Мой_46EE.2011(v1.2)" xfId="12"/>
    <cellStyle name="_Model_RAB Мой_ARMRAZR" xfId="13"/>
    <cellStyle name="_Model_RAB Мой_BALANCE.VODOOTV.2010.FACT(v1.0)" xfId="14"/>
    <cellStyle name="_Model_RAB Мой_BALANCE.WARM.2010.FACT(v1.0)" xfId="15"/>
    <cellStyle name="_Model_RAB Мой_BALANCE.WARM.2010.PLAN" xfId="16"/>
    <cellStyle name="_Model_RAB Мой_BALANCE.WARM.2011YEAR(v0.7)" xfId="17"/>
    <cellStyle name="_Model_RAB Мой_BALANCE.WARM.2011YEAR.NEW.UPDATE.SCHEME" xfId="18"/>
    <cellStyle name="_Model_RAB Мой_NADB.JNVLS.APTEKA.2011(v1.3.3)" xfId="19"/>
    <cellStyle name="_Model_RAB Мой_NADB.JNVLS.APTEKA.2011(v1.3.4)" xfId="20"/>
    <cellStyle name="_Model_RAB Мой_PREDEL.JKH.UTV.2011(v1.0.1)" xfId="21"/>
    <cellStyle name="_Model_RAB Мой_PREDEL.JKH.UTV.2011(v1.1)" xfId="22"/>
    <cellStyle name="_Model_RAB Мой_UPDATE.46EE.2011.TO.1.1" xfId="23"/>
    <cellStyle name="_Model_RAB Мой_UPDATE.BALANCE.WARM.2011YEAR.TO.1.1" xfId="24"/>
    <cellStyle name="_Model_RAB_MRSK_svod" xfId="25"/>
    <cellStyle name="_Model_RAB_MRSK_svod_46EE.2011(v1.0)" xfId="26"/>
    <cellStyle name="_Model_RAB_MRSK_svod_46EE.2011(v1.2)" xfId="27"/>
    <cellStyle name="_Model_RAB_MRSK_svod_ARMRAZR" xfId="28"/>
    <cellStyle name="_Model_RAB_MRSK_svod_BALANCE.VODOOTV.2010.FACT(v1.0)" xfId="29"/>
    <cellStyle name="_Model_RAB_MRSK_svod_BALANCE.WARM.2010.FACT(v1.0)" xfId="30"/>
    <cellStyle name="_Model_RAB_MRSK_svod_BALANCE.WARM.2010.PLAN" xfId="31"/>
    <cellStyle name="_Model_RAB_MRSK_svod_BALANCE.WARM.2011YEAR(v0.7)" xfId="32"/>
    <cellStyle name="_Model_RAB_MRSK_svod_BALANCE.WARM.2011YEAR.NEW.UPDATE.SCHEME" xfId="33"/>
    <cellStyle name="_Model_RAB_MRSK_svod_NADB.JNVLS.APTEKA.2011(v1.3.3)" xfId="34"/>
    <cellStyle name="_Model_RAB_MRSK_svod_NADB.JNVLS.APTEKA.2011(v1.3.4)" xfId="35"/>
    <cellStyle name="_Model_RAB_MRSK_svod_PREDEL.JKH.UTV.2011(v1.0.1)" xfId="36"/>
    <cellStyle name="_Model_RAB_MRSK_svod_PREDEL.JKH.UTV.2011(v1.1)" xfId="37"/>
    <cellStyle name="_Model_RAB_MRSK_svod_UPDATE.46EE.2011.TO.1.1" xfId="38"/>
    <cellStyle name="_Model_RAB_MRSK_svod_UPDATE.BALANCE.WARM.2011YEAR.TO.1.1" xfId="39"/>
    <cellStyle name="_New_Sofi" xfId="1479"/>
    <cellStyle name="_New_Sofi_FFF" xfId="1480"/>
    <cellStyle name="_New_Sofi_New Form10_2" xfId="1481"/>
    <cellStyle name="_New_Sofi_Nsi" xfId="1482"/>
    <cellStyle name="_New_Sofi_Nsi_1" xfId="1483"/>
    <cellStyle name="_New_Sofi_Nsi_139" xfId="1484"/>
    <cellStyle name="_New_Sofi_Nsi_140" xfId="1485"/>
    <cellStyle name="_New_Sofi_Nsi_140(Зах)" xfId="1486"/>
    <cellStyle name="_New_Sofi_Nsi_140_mod" xfId="1487"/>
    <cellStyle name="_New_Sofi_Summary" xfId="1488"/>
    <cellStyle name="_New_Sofi_Tax_form_1кв_3" xfId="1489"/>
    <cellStyle name="_New_Sofi_БКЭ" xfId="1490"/>
    <cellStyle name="_Nsi" xfId="1491"/>
    <cellStyle name="_АГ" xfId="1492"/>
    <cellStyle name="_АГ_6.1 План 2009" xfId="1493"/>
    <cellStyle name="_АГ_6.1 Факт" xfId="1494"/>
    <cellStyle name="_АГ_Анкета и Приложения 2010_ВиВ" xfId="1495"/>
    <cellStyle name="_АГ_Анкета и Приложения 2011 В.снаб.и В.отвед." xfId="1496"/>
    <cellStyle name="_АГ_Анкета и Приложения 2011_ВиВ" xfId="1497"/>
    <cellStyle name="_АГ_Анкета и Приложения 2012 В.снаб.и В.отвед." xfId="1498"/>
    <cellStyle name="_АГ_последний от Айнагуловой Анкета и Приложения 2011 В.снаб.и В.отвед." xfId="1499"/>
    <cellStyle name="_АГ_Прил 6.1 Хоз.способ" xfId="1500"/>
    <cellStyle name="_БДР04м05" xfId="1501"/>
    <cellStyle name="_ВО ОП ТЭС-ОТ- 2007" xfId="40"/>
    <cellStyle name="_ВФ ОАО ТЭС-ОТ- 2009" xfId="41"/>
    <cellStyle name="_выручка по присоединениям2" xfId="42"/>
    <cellStyle name="_График реализации проектовa_3" xfId="1502"/>
    <cellStyle name="_ДЗО_ТКС_2007_технол (15.12.06г)" xfId="1503"/>
    <cellStyle name="_Договор аренды ЯЭ с разбивкой" xfId="43"/>
    <cellStyle name="_Дозакл 5 мес.2000" xfId="1504"/>
    <cellStyle name="_Дополняемый НОМЕНКЛАТУРНЫЙ СПРАВОЧНИК ОАО ТКС" xfId="1505"/>
    <cellStyle name="_Ежедекадная справка о векселях в обращении" xfId="1506"/>
    <cellStyle name="_Ежедекадная справка о движении заемных средств" xfId="1507"/>
    <cellStyle name="_Ежедекадная справка о движении заемных средств (2)" xfId="1508"/>
    <cellStyle name="_Исходные данные для модели" xfId="44"/>
    <cellStyle name="_Книга3" xfId="1509"/>
    <cellStyle name="_Книга3_New Form10_2" xfId="1510"/>
    <cellStyle name="_Книга3_Nsi" xfId="1511"/>
    <cellStyle name="_Книга3_Nsi_1" xfId="1512"/>
    <cellStyle name="_Книга3_Nsi_139" xfId="1513"/>
    <cellStyle name="_Книга3_Nsi_140" xfId="1514"/>
    <cellStyle name="_Книга3_Nsi_140(Зах)" xfId="1515"/>
    <cellStyle name="_Книга3_Nsi_140_mod" xfId="1516"/>
    <cellStyle name="_Книга3_Summary" xfId="1517"/>
    <cellStyle name="_Книга3_Tax_form_1кв_3" xfId="1518"/>
    <cellStyle name="_Книга3_БКЭ" xfId="1519"/>
    <cellStyle name="_Книга7" xfId="1520"/>
    <cellStyle name="_Книга7_New Form10_2" xfId="1521"/>
    <cellStyle name="_Книга7_Nsi" xfId="1522"/>
    <cellStyle name="_Книга7_Nsi_1" xfId="1523"/>
    <cellStyle name="_Книга7_Nsi_139" xfId="1524"/>
    <cellStyle name="_Книга7_Nsi_140" xfId="1525"/>
    <cellStyle name="_Книга7_Nsi_140(Зах)" xfId="1526"/>
    <cellStyle name="_Книга7_Nsi_140_mod" xfId="1527"/>
    <cellStyle name="_Книга7_Summary" xfId="1528"/>
    <cellStyle name="_Книга7_Tax_form_1кв_3" xfId="1529"/>
    <cellStyle name="_Книга7_БКЭ" xfId="1530"/>
    <cellStyle name="_Куликова ОПП" xfId="1531"/>
    <cellStyle name="_Материалы от ТТС (Саша делай сдесь)" xfId="1532"/>
    <cellStyle name="_МОДЕЛЬ_1 (2)" xfId="45"/>
    <cellStyle name="_МОДЕЛЬ_1 (2)_46EE.2011(v1.0)" xfId="46"/>
    <cellStyle name="_МОДЕЛЬ_1 (2)_46EE.2011(v1.2)" xfId="47"/>
    <cellStyle name="_МОДЕЛЬ_1 (2)_ARMRAZR" xfId="48"/>
    <cellStyle name="_МОДЕЛЬ_1 (2)_BALANCE.VODOOTV.2010.FACT(v1.0)" xfId="49"/>
    <cellStyle name="_МОДЕЛЬ_1 (2)_BALANCE.WARM.2010.FACT(v1.0)" xfId="50"/>
    <cellStyle name="_МОДЕЛЬ_1 (2)_BALANCE.WARM.2010.PLAN" xfId="51"/>
    <cellStyle name="_МОДЕЛЬ_1 (2)_BALANCE.WARM.2011YEAR(v0.7)" xfId="52"/>
    <cellStyle name="_МОДЕЛЬ_1 (2)_BALANCE.WARM.2011YEAR.NEW.UPDATE.SCHEME" xfId="53"/>
    <cellStyle name="_МОДЕЛЬ_1 (2)_NADB.JNVLS.APTEKA.2011(v1.3.3)" xfId="54"/>
    <cellStyle name="_МОДЕЛЬ_1 (2)_NADB.JNVLS.APTEKA.2011(v1.3.4)" xfId="55"/>
    <cellStyle name="_МОДЕЛЬ_1 (2)_PREDEL.JKH.UTV.2011(v1.0.1)" xfId="56"/>
    <cellStyle name="_МОДЕЛЬ_1 (2)_PREDEL.JKH.UTV.2011(v1.1)" xfId="57"/>
    <cellStyle name="_МОДЕЛЬ_1 (2)_UPDATE.46EE.2011.TO.1.1" xfId="58"/>
    <cellStyle name="_МОДЕЛЬ_1 (2)_UPDATE.BALANCE.WARM.2011YEAR.TO.1.1" xfId="59"/>
    <cellStyle name="_НВВ 2009 постатейно свод по филиалам_09_02_09" xfId="60"/>
    <cellStyle name="_НВВ 2009 постатейно свод по филиалам_для Валентина" xfId="61"/>
    <cellStyle name="_НОМЕНКЛАТУРНЫЙ СПРАВОЧНИК ОАО ТКС (утвержденный) (2)" xfId="1533"/>
    <cellStyle name="_Омск" xfId="62"/>
    <cellStyle name="_Операцион внереал_2.5._2007 год" xfId="1534"/>
    <cellStyle name="_Операцион внереал_2.5._2007 годxls (2)" xfId="1535"/>
    <cellStyle name="_ОТ ИД 2009" xfId="63"/>
    <cellStyle name="_ОТЧЕТ по текущ. ремонту  2005" xfId="1536"/>
    <cellStyle name="_план ПП" xfId="1537"/>
    <cellStyle name="_ПП план-факт" xfId="1538"/>
    <cellStyle name="_пр 5 тариф RAB" xfId="64"/>
    <cellStyle name="_пр 5 тариф RAB_46EE.2011(v1.0)" xfId="65"/>
    <cellStyle name="_пр 5 тариф RAB_46EE.2011(v1.2)" xfId="66"/>
    <cellStyle name="_пр 5 тариф RAB_ARMRAZR" xfId="67"/>
    <cellStyle name="_пр 5 тариф RAB_BALANCE.VODOOTV.2010.FACT(v1.0)" xfId="68"/>
    <cellStyle name="_пр 5 тариф RAB_BALANCE.WARM.2010.FACT(v1.0)" xfId="69"/>
    <cellStyle name="_пр 5 тариф RAB_BALANCE.WARM.2010.PLAN" xfId="70"/>
    <cellStyle name="_пр 5 тариф RAB_BALANCE.WARM.2011YEAR(v0.7)" xfId="71"/>
    <cellStyle name="_пр 5 тариф RAB_BALANCE.WARM.2011YEAR.NEW.UPDATE.SCHEME" xfId="72"/>
    <cellStyle name="_пр 5 тариф RAB_NADB.JNVLS.APTEKA.2011(v1.3.3)" xfId="73"/>
    <cellStyle name="_пр 5 тариф RAB_NADB.JNVLS.APTEKA.2011(v1.3.4)" xfId="74"/>
    <cellStyle name="_пр 5 тариф RAB_PREDEL.JKH.UTV.2011(v1.0.1)" xfId="75"/>
    <cellStyle name="_пр 5 тариф RAB_PREDEL.JKH.UTV.2011(v1.1)" xfId="76"/>
    <cellStyle name="_пр 5 тариф RAB_UPDATE.46EE.2011.TO.1.1" xfId="77"/>
    <cellStyle name="_пр 5 тариф RAB_UPDATE.BALANCE.WARM.2011YEAR.TO.1.1" xfId="78"/>
    <cellStyle name="_Предожение _ДБП_2009 г ( согласованные БП)  (2)" xfId="79"/>
    <cellStyle name="_Прик РКС-265-п от 21.11.2005г. прил 1 к Регламенту" xfId="1539"/>
    <cellStyle name="_ПРИЛ. 2003_ЧТЭ" xfId="1540"/>
    <cellStyle name="_Приложение 22 Альбом форм Томские коммунальные системы" xfId="1541"/>
    <cellStyle name="_Приложение № 1 к регламенту по формированию Инвестиционной программы" xfId="1542"/>
    <cellStyle name="_Приложение МТС-3-КС" xfId="80"/>
    <cellStyle name="_Приложение откр." xfId="1543"/>
    <cellStyle name="_Приложение-МТС--2-1" xfId="81"/>
    <cellStyle name="_Приложения и анкета_2007 (котельная Н_Луговая)" xfId="1544"/>
    <cellStyle name="_проект_инвест_программы_2" xfId="1545"/>
    <cellStyle name="_ПФ14" xfId="1546"/>
    <cellStyle name="_Расчет RAB_22072008" xfId="82"/>
    <cellStyle name="_Расчет RAB_22072008_46EE.2011(v1.0)" xfId="83"/>
    <cellStyle name="_Расчет RAB_22072008_46EE.2011(v1.2)" xfId="84"/>
    <cellStyle name="_Расчет RAB_22072008_ARMRAZR" xfId="85"/>
    <cellStyle name="_Расчет RAB_22072008_BALANCE.VODOOTV.2010.FACT(v1.0)" xfId="86"/>
    <cellStyle name="_Расчет RAB_22072008_BALANCE.WARM.2010.FACT(v1.0)" xfId="87"/>
    <cellStyle name="_Расчет RAB_22072008_BALANCE.WARM.2010.PLAN" xfId="88"/>
    <cellStyle name="_Расчет RAB_22072008_BALANCE.WARM.2011YEAR(v0.7)" xfId="89"/>
    <cellStyle name="_Расчет RAB_22072008_BALANCE.WARM.2011YEAR.NEW.UPDATE.SCHEME" xfId="90"/>
    <cellStyle name="_Расчет RAB_22072008_NADB.JNVLS.APTEKA.2011(v1.3.3)" xfId="91"/>
    <cellStyle name="_Расчет RAB_22072008_NADB.JNVLS.APTEKA.2011(v1.3.4)" xfId="92"/>
    <cellStyle name="_Расчет RAB_22072008_PREDEL.JKH.UTV.2011(v1.0.1)" xfId="93"/>
    <cellStyle name="_Расчет RAB_22072008_PREDEL.JKH.UTV.2011(v1.1)" xfId="94"/>
    <cellStyle name="_Расчет RAB_22072008_UPDATE.46EE.2011.TO.1.1" xfId="95"/>
    <cellStyle name="_Расчет RAB_22072008_UPDATE.BALANCE.WARM.2011YEAR.TO.1.1" xfId="96"/>
    <cellStyle name="_Расчет RAB_Лен и МОЭСК_с 2010 года_14.04.2009_со сглаж_version 3.0_без ФСК" xfId="97"/>
    <cellStyle name="_Расчет RAB_Лен и МОЭСК_с 2010 года_14.04.2009_со сглаж_version 3.0_без ФСК_46EE.2011(v1.0)" xfId="98"/>
    <cellStyle name="_Расчет RAB_Лен и МОЭСК_с 2010 года_14.04.2009_со сглаж_version 3.0_без ФСК_46EE.2011(v1.2)" xfId="99"/>
    <cellStyle name="_Расчет RAB_Лен и МОЭСК_с 2010 года_14.04.2009_со сглаж_version 3.0_без ФСК_ARMRAZR" xfId="100"/>
    <cellStyle name="_Расчет RAB_Лен и МОЭСК_с 2010 года_14.04.2009_со сглаж_version 3.0_без ФСК_BALANCE.VODOOTV.2010.FACT(v1.0)" xfId="101"/>
    <cellStyle name="_Расчет RAB_Лен и МОЭСК_с 2010 года_14.04.2009_со сглаж_version 3.0_без ФСК_BALANCE.WARM.2010.FACT(v1.0)" xfId="102"/>
    <cellStyle name="_Расчет RAB_Лен и МОЭСК_с 2010 года_14.04.2009_со сглаж_version 3.0_без ФСК_BALANCE.WARM.2010.PLAN" xfId="103"/>
    <cellStyle name="_Расчет RAB_Лен и МОЭСК_с 2010 года_14.04.2009_со сглаж_version 3.0_без ФСК_BALANCE.WARM.2011YEAR(v0.7)" xfId="104"/>
    <cellStyle name="_Расчет RAB_Лен и МОЭСК_с 2010 года_14.04.2009_со сглаж_version 3.0_без ФСК_BALANCE.WARM.2011YEAR.NEW.UPDATE.SCHEME" xfId="105"/>
    <cellStyle name="_Расчет RAB_Лен и МОЭСК_с 2010 года_14.04.2009_со сглаж_version 3.0_без ФСК_NADB.JNVLS.APTEKA.2011(v1.3.3)" xfId="106"/>
    <cellStyle name="_Расчет RAB_Лен и МОЭСК_с 2010 года_14.04.2009_со сглаж_version 3.0_без ФСК_NADB.JNVLS.APTEKA.2011(v1.3.4)" xfId="107"/>
    <cellStyle name="_Расчет RAB_Лен и МОЭСК_с 2010 года_14.04.2009_со сглаж_version 3.0_без ФСК_PREDEL.JKH.UTV.2011(v1.0.1)" xfId="108"/>
    <cellStyle name="_Расчет RAB_Лен и МОЭСК_с 2010 года_14.04.2009_со сглаж_version 3.0_без ФСК_PREDEL.JKH.UTV.2011(v1.1)" xfId="109"/>
    <cellStyle name="_Расчет RAB_Лен и МОЭСК_с 2010 года_14.04.2009_со сглаж_version 3.0_без ФСК_UPDATE.46EE.2011.TO.1.1" xfId="110"/>
    <cellStyle name="_Расчет RAB_Лен и МОЭСК_с 2010 года_14.04.2009_со сглаж_version 3.0_без ФСК_UPDATE.BALANCE.WARM.2011YEAR.TO.1.1" xfId="111"/>
    <cellStyle name="_Расшифровки_1кв_2002" xfId="1547"/>
    <cellStyle name="_РЭК 2008 (тепловая энергия) (Н.Луговая)" xfId="1548"/>
    <cellStyle name="_РЭК 2009 (тепловая энергия)_Н.Луговая" xfId="1549"/>
    <cellStyle name="_РЭК факт 2008 тепло" xfId="1550"/>
    <cellStyle name="_Свод по ИПР (2)" xfId="112"/>
    <cellStyle name="_Соц.выплаты на 2007год(исправл)" xfId="1551"/>
    <cellStyle name="_таблицы для расчетов28-04-08_2006-2009_прибыль корр_по ИА" xfId="113"/>
    <cellStyle name="_таблицы для расчетов28-04-08_2006-2009с ИА" xfId="114"/>
    <cellStyle name="_Текущий ремонт  2007 год (исправ.)" xfId="1552"/>
    <cellStyle name="_Факт ТКС за 2005 г" xfId="1553"/>
    <cellStyle name="_Форма 6  РТК.xls(отчет по Адр пр. ЛО)" xfId="115"/>
    <cellStyle name="_Формат разбивки по МРСК_РСК" xfId="116"/>
    <cellStyle name="_Формат_для Согласования" xfId="117"/>
    <cellStyle name="_Формы" xfId="1554"/>
    <cellStyle name="_экон.форм-т ВО 1 с разбивкой" xfId="118"/>
    <cellStyle name="_ЭП_10 общехозяйственные" xfId="1555"/>
    <cellStyle name="”€ќђќ‘ћ‚›‰" xfId="119"/>
    <cellStyle name="”€љ‘€ђћ‚ђќќ›‰" xfId="120"/>
    <cellStyle name="”ќђќ‘ћ‚›‰" xfId="121"/>
    <cellStyle name="”љ‘ђћ‚ђќќ›‰" xfId="122"/>
    <cellStyle name="„…ќ…†ќ›‰" xfId="123"/>
    <cellStyle name="„ђ’ђ" xfId="1556"/>
    <cellStyle name="€’ћѓћ‚›‰" xfId="124"/>
    <cellStyle name="‡ђѓћ‹ћ‚ћљ1" xfId="125"/>
    <cellStyle name="‡ђѓћ‹ћ‚ћљ2" xfId="126"/>
    <cellStyle name="’ћѓћ‚›‰" xfId="127"/>
    <cellStyle name="0,0_x000d__x000a_NA_x000d__x000a_" xfId="1449"/>
    <cellStyle name="0,00;0;" xfId="1557"/>
    <cellStyle name="20% - Accent1" xfId="128"/>
    <cellStyle name="20% - Accent1 2" xfId="129"/>
    <cellStyle name="20% - Accent1 3" xfId="130"/>
    <cellStyle name="20% - Accent1_46EE.2011(v1.0)" xfId="131"/>
    <cellStyle name="20% - Accent2" xfId="132"/>
    <cellStyle name="20% - Accent2 2" xfId="133"/>
    <cellStyle name="20% - Accent2 3" xfId="134"/>
    <cellStyle name="20% - Accent2_46EE.2011(v1.0)" xfId="135"/>
    <cellStyle name="20% - Accent3" xfId="136"/>
    <cellStyle name="20% - Accent3 2" xfId="137"/>
    <cellStyle name="20% - Accent3_46EE.2011(v1.0)" xfId="138"/>
    <cellStyle name="20% - Accent4" xfId="139"/>
    <cellStyle name="20% - Accent4 2" xfId="140"/>
    <cellStyle name="20% - Accent4_46EE.2011(v1.0)" xfId="141"/>
    <cellStyle name="20% - Accent5" xfId="142"/>
    <cellStyle name="20% - Accent5 2" xfId="143"/>
    <cellStyle name="20% - Accent5 3" xfId="144"/>
    <cellStyle name="20% - Accent5_46EE.2011(v1.0)" xfId="145"/>
    <cellStyle name="20% - Accent6" xfId="146"/>
    <cellStyle name="20% - Accent6 2" xfId="147"/>
    <cellStyle name="20% - Accent6_46EE.2011(v1.0)" xfId="148"/>
    <cellStyle name="20% - Акцент1 2" xfId="149"/>
    <cellStyle name="20% - Акцент1 2 2" xfId="150"/>
    <cellStyle name="20% - Акцент1 2_46EE.2011(v1.0)" xfId="151"/>
    <cellStyle name="20% - Акцент1 3" xfId="152"/>
    <cellStyle name="20% - Акцент1 3 2" xfId="153"/>
    <cellStyle name="20% - Акцент1 3_46EE.2011(v1.0)" xfId="154"/>
    <cellStyle name="20% - Акцент1 4" xfId="155"/>
    <cellStyle name="20% - Акцент1 4 2" xfId="156"/>
    <cellStyle name="20% - Акцент1 4_46EE.2011(v1.0)" xfId="157"/>
    <cellStyle name="20% - Акцент1 5" xfId="158"/>
    <cellStyle name="20% - Акцент1 5 2" xfId="159"/>
    <cellStyle name="20% - Акцент1 5_46EE.2011(v1.0)" xfId="160"/>
    <cellStyle name="20% - Акцент1 6" xfId="161"/>
    <cellStyle name="20% - Акцент1 6 2" xfId="162"/>
    <cellStyle name="20% - Акцент1 6_46EE.2011(v1.0)" xfId="163"/>
    <cellStyle name="20% - Акцент1 7" xfId="164"/>
    <cellStyle name="20% - Акцент1 7 2" xfId="165"/>
    <cellStyle name="20% - Акцент1 7_46EE.2011(v1.0)" xfId="166"/>
    <cellStyle name="20% - Акцент1 8" xfId="167"/>
    <cellStyle name="20% - Акцент1 8 2" xfId="168"/>
    <cellStyle name="20% - Акцент1 8_46EE.2011(v1.0)" xfId="169"/>
    <cellStyle name="20% - Акцент1 9" xfId="170"/>
    <cellStyle name="20% - Акцент1 9 2" xfId="171"/>
    <cellStyle name="20% - Акцент1 9_46EE.2011(v1.0)" xfId="172"/>
    <cellStyle name="20% - Акцент2 2" xfId="173"/>
    <cellStyle name="20% - Акцент2 2 2" xfId="174"/>
    <cellStyle name="20% - Акцент2 2_46EE.2011(v1.0)" xfId="175"/>
    <cellStyle name="20% - Акцент2 3" xfId="176"/>
    <cellStyle name="20% - Акцент2 3 2" xfId="177"/>
    <cellStyle name="20% - Акцент2 3 3" xfId="178"/>
    <cellStyle name="20% - Акцент2 3_46EE.2011(v1.0)" xfId="179"/>
    <cellStyle name="20% - Акцент2 4" xfId="180"/>
    <cellStyle name="20% - Акцент2 4 2" xfId="181"/>
    <cellStyle name="20% - Акцент2 4 3" xfId="182"/>
    <cellStyle name="20% - Акцент2 4_46EE.2011(v1.0)" xfId="183"/>
    <cellStyle name="20% - Акцент2 5" xfId="184"/>
    <cellStyle name="20% - Акцент2 5 2" xfId="185"/>
    <cellStyle name="20% - Акцент2 5_46EE.2011(v1.0)" xfId="186"/>
    <cellStyle name="20% - Акцент2 6" xfId="187"/>
    <cellStyle name="20% - Акцент2 6 2" xfId="188"/>
    <cellStyle name="20% - Акцент2 6_46EE.2011(v1.0)" xfId="189"/>
    <cellStyle name="20% - Акцент2 7" xfId="190"/>
    <cellStyle name="20% - Акцент2 7 2" xfId="191"/>
    <cellStyle name="20% - Акцент2 7 3" xfId="192"/>
    <cellStyle name="20% - Акцент2 7_46EE.2011(v1.0)" xfId="193"/>
    <cellStyle name="20% - Акцент2 8" xfId="194"/>
    <cellStyle name="20% - Акцент2 8 2" xfId="195"/>
    <cellStyle name="20% - Акцент2 8_46EE.2011(v1.0)" xfId="196"/>
    <cellStyle name="20% - Акцент2 9" xfId="197"/>
    <cellStyle name="20% - Акцент2 9 2" xfId="198"/>
    <cellStyle name="20% - Акцент2 9_46EE.2011(v1.0)" xfId="199"/>
    <cellStyle name="20% - Акцент3 2" xfId="200"/>
    <cellStyle name="20% - Акцент3 2 2" xfId="201"/>
    <cellStyle name="20% - Акцент3 2_46EE.2011(v1.0)" xfId="202"/>
    <cellStyle name="20% - Акцент3 3" xfId="203"/>
    <cellStyle name="20% - Акцент3 3 2" xfId="204"/>
    <cellStyle name="20% - Акцент3 3 2 2" xfId="205"/>
    <cellStyle name="20% - Акцент3 3_46EE.2011(v1.0)" xfId="206"/>
    <cellStyle name="20% - Акцент3 4" xfId="207"/>
    <cellStyle name="20% - Акцент3 4 2" xfId="208"/>
    <cellStyle name="20% - Акцент3 4_46EE.2011(v1.0)" xfId="209"/>
    <cellStyle name="20% - Акцент3 5" xfId="210"/>
    <cellStyle name="20% - Акцент3 5 2" xfId="211"/>
    <cellStyle name="20% - Акцент3 5_46EE.2011(v1.0)" xfId="212"/>
    <cellStyle name="20% - Акцент3 6" xfId="213"/>
    <cellStyle name="20% - Акцент3 6 2" xfId="214"/>
    <cellStyle name="20% - Акцент3 6_46EE.2011(v1.0)" xfId="215"/>
    <cellStyle name="20% - Акцент3 7" xfId="216"/>
    <cellStyle name="20% - Акцент3 7 2" xfId="217"/>
    <cellStyle name="20% - Акцент3 7_46EE.2011(v1.0)" xfId="218"/>
    <cellStyle name="20% - Акцент3 8" xfId="219"/>
    <cellStyle name="20% - Акцент3 8 2" xfId="220"/>
    <cellStyle name="20% - Акцент3 8_46EE.2011(v1.0)" xfId="221"/>
    <cellStyle name="20% - Акцент3 9" xfId="222"/>
    <cellStyle name="20% - Акцент3 9 2" xfId="223"/>
    <cellStyle name="20% - Акцент3 9_46EE.2011(v1.0)" xfId="224"/>
    <cellStyle name="20% - Акцент4 2" xfId="225"/>
    <cellStyle name="20% - Акцент4 2 2" xfId="226"/>
    <cellStyle name="20% - Акцент4 2 3" xfId="227"/>
    <cellStyle name="20% - Акцент4 2 3 2" xfId="228"/>
    <cellStyle name="20% - Акцент4 2_46EE.2011(v1.0)" xfId="229"/>
    <cellStyle name="20% - Акцент4 3" xfId="230"/>
    <cellStyle name="20% - Акцент4 3 2" xfId="231"/>
    <cellStyle name="20% - Акцент4 3_46EE.2011(v1.0)" xfId="232"/>
    <cellStyle name="20% - Акцент4 4" xfId="233"/>
    <cellStyle name="20% - Акцент4 4 2" xfId="234"/>
    <cellStyle name="20% - Акцент4 4_46EE.2011(v1.0)" xfId="235"/>
    <cellStyle name="20% - Акцент4 5" xfId="236"/>
    <cellStyle name="20% - Акцент4 5 2" xfId="237"/>
    <cellStyle name="20% - Акцент4 5_46EE.2011(v1.0)" xfId="238"/>
    <cellStyle name="20% - Акцент4 6" xfId="239"/>
    <cellStyle name="20% - Акцент4 6 2" xfId="240"/>
    <cellStyle name="20% - Акцент4 6 3" xfId="241"/>
    <cellStyle name="20% - Акцент4 6_46EE.2011(v1.0)" xfId="242"/>
    <cellStyle name="20% - Акцент4 7" xfId="243"/>
    <cellStyle name="20% - Акцент4 7 2" xfId="244"/>
    <cellStyle name="20% - Акцент4 7_46EE.2011(v1.0)" xfId="245"/>
    <cellStyle name="20% - Акцент4 8" xfId="246"/>
    <cellStyle name="20% - Акцент4 8 2" xfId="247"/>
    <cellStyle name="20% - Акцент4 8_46EE.2011(v1.0)" xfId="248"/>
    <cellStyle name="20% - Акцент4 9" xfId="249"/>
    <cellStyle name="20% - Акцент4 9 2" xfId="250"/>
    <cellStyle name="20% - Акцент4 9_46EE.2011(v1.0)" xfId="251"/>
    <cellStyle name="20% - Акцент5 11" xfId="252"/>
    <cellStyle name="20% - Акцент5 2" xfId="253"/>
    <cellStyle name="20% - Акцент5 2 2" xfId="254"/>
    <cellStyle name="20% - Акцент5 2_46EE.2011(v1.0)" xfId="255"/>
    <cellStyle name="20% - Акцент5 3" xfId="256"/>
    <cellStyle name="20% - Акцент5 3 2" xfId="257"/>
    <cellStyle name="20% - Акцент5 3_46EE.2011(v1.0)" xfId="258"/>
    <cellStyle name="20% - Акцент5 4" xfId="259"/>
    <cellStyle name="20% - Акцент5 4 2" xfId="260"/>
    <cellStyle name="20% - Акцент5 4_46EE.2011(v1.0)" xfId="261"/>
    <cellStyle name="20% - Акцент5 5" xfId="262"/>
    <cellStyle name="20% - Акцент5 5 2" xfId="263"/>
    <cellStyle name="20% - Акцент5 5_46EE.2011(v1.0)" xfId="264"/>
    <cellStyle name="20% - Акцент5 6" xfId="265"/>
    <cellStyle name="20% - Акцент5 6 2" xfId="266"/>
    <cellStyle name="20% - Акцент5 6_46EE.2011(v1.0)" xfId="267"/>
    <cellStyle name="20% - Акцент5 7" xfId="268"/>
    <cellStyle name="20% - Акцент5 7 2" xfId="269"/>
    <cellStyle name="20% - Акцент5 7_46EE.2011(v1.0)" xfId="270"/>
    <cellStyle name="20% - Акцент5 8" xfId="271"/>
    <cellStyle name="20% - Акцент5 8 2" xfId="272"/>
    <cellStyle name="20% - Акцент5 8_46EE.2011(v1.0)" xfId="273"/>
    <cellStyle name="20% - Акцент5 9" xfId="274"/>
    <cellStyle name="20% - Акцент5 9 2" xfId="275"/>
    <cellStyle name="20% - Акцент5 9_46EE.2011(v1.0)" xfId="276"/>
    <cellStyle name="20% - Акцент6 2" xfId="277"/>
    <cellStyle name="20% - Акцент6 2 2" xfId="278"/>
    <cellStyle name="20% - Акцент6 2_46EE.2011(v1.0)" xfId="279"/>
    <cellStyle name="20% - Акцент6 3" xfId="280"/>
    <cellStyle name="20% - Акцент6 3 2" xfId="281"/>
    <cellStyle name="20% - Акцент6 3_46EE.2011(v1.0)" xfId="282"/>
    <cellStyle name="20% - Акцент6 4" xfId="283"/>
    <cellStyle name="20% - Акцент6 4 2" xfId="284"/>
    <cellStyle name="20% - Акцент6 4_46EE.2011(v1.0)" xfId="285"/>
    <cellStyle name="20% - Акцент6 5" xfId="286"/>
    <cellStyle name="20% - Акцент6 5 2" xfId="287"/>
    <cellStyle name="20% - Акцент6 5 3" xfId="288"/>
    <cellStyle name="20% - Акцент6 5_46EE.2011(v1.0)" xfId="289"/>
    <cellStyle name="20% - Акцент6 6" xfId="290"/>
    <cellStyle name="20% - Акцент6 6 2" xfId="291"/>
    <cellStyle name="20% - Акцент6 6_46EE.2011(v1.0)" xfId="292"/>
    <cellStyle name="20% - Акцент6 7" xfId="293"/>
    <cellStyle name="20% - Акцент6 7 2" xfId="294"/>
    <cellStyle name="20% - Акцент6 7_46EE.2011(v1.0)" xfId="295"/>
    <cellStyle name="20% - Акцент6 8" xfId="296"/>
    <cellStyle name="20% - Акцент6 8 2" xfId="297"/>
    <cellStyle name="20% - Акцент6 8_46EE.2011(v1.0)" xfId="298"/>
    <cellStyle name="20% - Акцент6 9" xfId="299"/>
    <cellStyle name="20% - Акцент6 9 2" xfId="300"/>
    <cellStyle name="20% - Акцент6 9 3" xfId="301"/>
    <cellStyle name="20% - Акцент6 9_46EE.2011(v1.0)" xfId="302"/>
    <cellStyle name="3d" xfId="1558"/>
    <cellStyle name="40% - Accent1" xfId="303"/>
    <cellStyle name="40% - Accent1 2" xfId="304"/>
    <cellStyle name="40% - Accent1_46EE.2011(v1.0)" xfId="305"/>
    <cellStyle name="40% - Accent2" xfId="306"/>
    <cellStyle name="40% - Accent2 2" xfId="307"/>
    <cellStyle name="40% - Accent2_46EE.2011(v1.0)" xfId="308"/>
    <cellStyle name="40% - Accent3" xfId="309"/>
    <cellStyle name="40% - Accent3 2" xfId="310"/>
    <cellStyle name="40% - Accent3_46EE.2011(v1.0)" xfId="311"/>
    <cellStyle name="40% - Accent4" xfId="312"/>
    <cellStyle name="40% - Accent4 2" xfId="313"/>
    <cellStyle name="40% - Accent4 3" xfId="314"/>
    <cellStyle name="40% - Accent4_46EE.2011(v1.0)" xfId="315"/>
    <cellStyle name="40% - Accent5" xfId="316"/>
    <cellStyle name="40% - Accent5 2" xfId="317"/>
    <cellStyle name="40% - Accent5_46EE.2011(v1.0)" xfId="318"/>
    <cellStyle name="40% - Accent6" xfId="319"/>
    <cellStyle name="40% - Accent6 2" xfId="320"/>
    <cellStyle name="40% - Accent6_46EE.2011(v1.0)" xfId="321"/>
    <cellStyle name="40% - Акцент1 2" xfId="322"/>
    <cellStyle name="40% - Акцент1 2 2" xfId="323"/>
    <cellStyle name="40% - Акцент1 2 2 2" xfId="324"/>
    <cellStyle name="40% - Акцент1 2_46EE.2011(v1.0)" xfId="325"/>
    <cellStyle name="40% - Акцент1 3" xfId="326"/>
    <cellStyle name="40% - Акцент1 3 2" xfId="327"/>
    <cellStyle name="40% - Акцент1 3_46EE.2011(v1.0)" xfId="328"/>
    <cellStyle name="40% - Акцент1 4" xfId="329"/>
    <cellStyle name="40% - Акцент1 4 2" xfId="330"/>
    <cellStyle name="40% - Акцент1 4_46EE.2011(v1.0)" xfId="331"/>
    <cellStyle name="40% - Акцент1 5" xfId="332"/>
    <cellStyle name="40% - Акцент1 5 2" xfId="333"/>
    <cellStyle name="40% - Акцент1 5_46EE.2011(v1.0)" xfId="334"/>
    <cellStyle name="40% - Акцент1 6" xfId="335"/>
    <cellStyle name="40% - Акцент1 6 2" xfId="336"/>
    <cellStyle name="40% - Акцент1 6_46EE.2011(v1.0)" xfId="337"/>
    <cellStyle name="40% - Акцент1 7" xfId="338"/>
    <cellStyle name="40% - Акцент1 7 2" xfId="339"/>
    <cellStyle name="40% - Акцент1 7_46EE.2011(v1.0)" xfId="340"/>
    <cellStyle name="40% - Акцент1 8" xfId="341"/>
    <cellStyle name="40% - Акцент1 8 2" xfId="342"/>
    <cellStyle name="40% - Акцент1 8_46EE.2011(v1.0)" xfId="343"/>
    <cellStyle name="40% - Акцент1 9" xfId="344"/>
    <cellStyle name="40% - Акцент1 9 2" xfId="345"/>
    <cellStyle name="40% - Акцент1 9_46EE.2011(v1.0)" xfId="346"/>
    <cellStyle name="40% - Акцент2 10" xfId="347"/>
    <cellStyle name="40% - Акцент2 2" xfId="348"/>
    <cellStyle name="40% - Акцент2 2 2" xfId="349"/>
    <cellStyle name="40% - Акцент2 2 3" xfId="350"/>
    <cellStyle name="40% - Акцент2 2_46EE.2011(v1.0)" xfId="351"/>
    <cellStyle name="40% - Акцент2 3" xfId="352"/>
    <cellStyle name="40% - Акцент2 3 2" xfId="353"/>
    <cellStyle name="40% - Акцент2 3_46EE.2011(v1.0)" xfId="354"/>
    <cellStyle name="40% - Акцент2 4" xfId="355"/>
    <cellStyle name="40% - Акцент2 4 2" xfId="356"/>
    <cellStyle name="40% - Акцент2 4_46EE.2011(v1.0)" xfId="357"/>
    <cellStyle name="40% - Акцент2 5" xfId="358"/>
    <cellStyle name="40% - Акцент2 5 2" xfId="359"/>
    <cellStyle name="40% - Акцент2 5_46EE.2011(v1.0)" xfId="360"/>
    <cellStyle name="40% - Акцент2 6" xfId="361"/>
    <cellStyle name="40% - Акцент2 6 2" xfId="362"/>
    <cellStyle name="40% - Акцент2 6 3" xfId="363"/>
    <cellStyle name="40% - Акцент2 6_46EE.2011(v1.0)" xfId="364"/>
    <cellStyle name="40% - Акцент2 7" xfId="365"/>
    <cellStyle name="40% - Акцент2 7 2" xfId="366"/>
    <cellStyle name="40% - Акцент2 7_46EE.2011(v1.0)" xfId="367"/>
    <cellStyle name="40% - Акцент2 8" xfId="368"/>
    <cellStyle name="40% - Акцент2 8 2" xfId="369"/>
    <cellStyle name="40% - Акцент2 8_46EE.2011(v1.0)" xfId="370"/>
    <cellStyle name="40% - Акцент2 9" xfId="371"/>
    <cellStyle name="40% - Акцент2 9 2" xfId="372"/>
    <cellStyle name="40% - Акцент2 9 3" xfId="373"/>
    <cellStyle name="40% - Акцент2 9_46EE.2011(v1.0)" xfId="374"/>
    <cellStyle name="40% - Акцент3 2" xfId="375"/>
    <cellStyle name="40% - Акцент3 2 2" xfId="376"/>
    <cellStyle name="40% - Акцент3 2_46EE.2011(v1.0)" xfId="377"/>
    <cellStyle name="40% - Акцент3 3" xfId="378"/>
    <cellStyle name="40% - Акцент3 3 2" xfId="379"/>
    <cellStyle name="40% - Акцент3 3_46EE.2011(v1.0)" xfId="380"/>
    <cellStyle name="40% - Акцент3 4" xfId="381"/>
    <cellStyle name="40% - Акцент3 4 2" xfId="382"/>
    <cellStyle name="40% - Акцент3 4_46EE.2011(v1.0)" xfId="383"/>
    <cellStyle name="40% - Акцент3 5" xfId="384"/>
    <cellStyle name="40% - Акцент3 5 2" xfId="385"/>
    <cellStyle name="40% - Акцент3 5_46EE.2011(v1.0)" xfId="386"/>
    <cellStyle name="40% - Акцент3 6" xfId="387"/>
    <cellStyle name="40% - Акцент3 6 2" xfId="388"/>
    <cellStyle name="40% - Акцент3 6_46EE.2011(v1.0)" xfId="389"/>
    <cellStyle name="40% - Акцент3 7" xfId="390"/>
    <cellStyle name="40% - Акцент3 7 2" xfId="391"/>
    <cellStyle name="40% - Акцент3 7_46EE.2011(v1.0)" xfId="392"/>
    <cellStyle name="40% - Акцент3 8" xfId="393"/>
    <cellStyle name="40% - Акцент3 8 2" xfId="394"/>
    <cellStyle name="40% - Акцент3 8_46EE.2011(v1.0)" xfId="395"/>
    <cellStyle name="40% - Акцент3 9" xfId="396"/>
    <cellStyle name="40% - Акцент3 9 2" xfId="397"/>
    <cellStyle name="40% - Акцент3 9_46EE.2011(v1.0)" xfId="398"/>
    <cellStyle name="40% - Акцент4 2" xfId="399"/>
    <cellStyle name="40% - Акцент4 2 2" xfId="400"/>
    <cellStyle name="40% - Акцент4 2_46EE.2011(v1.0)" xfId="401"/>
    <cellStyle name="40% - Акцент4 3" xfId="402"/>
    <cellStyle name="40% - Акцент4 3 2" xfId="403"/>
    <cellStyle name="40% - Акцент4 3_46EE.2011(v1.0)" xfId="404"/>
    <cellStyle name="40% - Акцент4 4" xfId="405"/>
    <cellStyle name="40% - Акцент4 4 2" xfId="406"/>
    <cellStyle name="40% - Акцент4 4_46EE.2011(v1.0)" xfId="407"/>
    <cellStyle name="40% - Акцент4 5" xfId="408"/>
    <cellStyle name="40% - Акцент4 5 2" xfId="409"/>
    <cellStyle name="40% - Акцент4 5 3" xfId="410"/>
    <cellStyle name="40% - Акцент4 5_46EE.2011(v1.0)" xfId="411"/>
    <cellStyle name="40% - Акцент4 6" xfId="412"/>
    <cellStyle name="40% - Акцент4 6 2" xfId="413"/>
    <cellStyle name="40% - Акцент4 6_46EE.2011(v1.0)" xfId="414"/>
    <cellStyle name="40% - Акцент4 7" xfId="415"/>
    <cellStyle name="40% - Акцент4 7 2" xfId="416"/>
    <cellStyle name="40% - Акцент4 7_46EE.2011(v1.0)" xfId="417"/>
    <cellStyle name="40% - Акцент4 8" xfId="418"/>
    <cellStyle name="40% - Акцент4 8 2" xfId="419"/>
    <cellStyle name="40% - Акцент4 8 3" xfId="420"/>
    <cellStyle name="40% - Акцент4 8_46EE.2011(v1.0)" xfId="421"/>
    <cellStyle name="40% - Акцент4 9" xfId="422"/>
    <cellStyle name="40% - Акцент4 9 2" xfId="423"/>
    <cellStyle name="40% - Акцент4 9 3" xfId="424"/>
    <cellStyle name="40% - Акцент4 9_46EE.2011(v1.0)" xfId="425"/>
    <cellStyle name="40% - Акцент5 2" xfId="426"/>
    <cellStyle name="40% - Акцент5 2 2" xfId="427"/>
    <cellStyle name="40% - Акцент5 2_46EE.2011(v1.0)" xfId="428"/>
    <cellStyle name="40% - Акцент5 3" xfId="429"/>
    <cellStyle name="40% - Акцент5 3 2" xfId="430"/>
    <cellStyle name="40% - Акцент5 3_46EE.2011(v1.0)" xfId="431"/>
    <cellStyle name="40% - Акцент5 4" xfId="432"/>
    <cellStyle name="40% - Акцент5 4 2" xfId="433"/>
    <cellStyle name="40% - Акцент5 4_46EE.2011(v1.0)" xfId="434"/>
    <cellStyle name="40% - Акцент5 5" xfId="435"/>
    <cellStyle name="40% - Акцент5 5 2" xfId="436"/>
    <cellStyle name="40% - Акцент5 5_46EE.2011(v1.0)" xfId="437"/>
    <cellStyle name="40% - Акцент5 6" xfId="438"/>
    <cellStyle name="40% - Акцент5 6 2" xfId="439"/>
    <cellStyle name="40% - Акцент5 6_46EE.2011(v1.0)" xfId="440"/>
    <cellStyle name="40% - Акцент5 7" xfId="441"/>
    <cellStyle name="40% - Акцент5 7 2" xfId="442"/>
    <cellStyle name="40% - Акцент5 7 2 2" xfId="443"/>
    <cellStyle name="40% - Акцент5 7_46EE.2011(v1.0)" xfId="444"/>
    <cellStyle name="40% - Акцент5 8" xfId="445"/>
    <cellStyle name="40% - Акцент5 8 2" xfId="446"/>
    <cellStyle name="40% - Акцент5 8_46EE.2011(v1.0)" xfId="447"/>
    <cellStyle name="40% - Акцент5 9" xfId="448"/>
    <cellStyle name="40% - Акцент5 9 2" xfId="449"/>
    <cellStyle name="40% - Акцент5 9_46EE.2011(v1.0)" xfId="450"/>
    <cellStyle name="40% - Акцент6 2" xfId="451"/>
    <cellStyle name="40% - Акцент6 2 2" xfId="452"/>
    <cellStyle name="40% - Акцент6 2_46EE.2011(v1.0)" xfId="453"/>
    <cellStyle name="40% - Акцент6 3" xfId="454"/>
    <cellStyle name="40% - Акцент6 3 2" xfId="455"/>
    <cellStyle name="40% - Акцент6 3_46EE.2011(v1.0)" xfId="456"/>
    <cellStyle name="40% - Акцент6 4" xfId="457"/>
    <cellStyle name="40% - Акцент6 4 2" xfId="458"/>
    <cellStyle name="40% - Акцент6 4 3" xfId="459"/>
    <cellStyle name="40% - Акцент6 4_46EE.2011(v1.0)" xfId="460"/>
    <cellStyle name="40% - Акцент6 5" xfId="461"/>
    <cellStyle name="40% - Акцент6 5 2" xfId="462"/>
    <cellStyle name="40% - Акцент6 5_46EE.2011(v1.0)" xfId="463"/>
    <cellStyle name="40% - Акцент6 6" xfId="464"/>
    <cellStyle name="40% - Акцент6 6 2" xfId="465"/>
    <cellStyle name="40% - Акцент6 6 3" xfId="466"/>
    <cellStyle name="40% - Акцент6 6_46EE.2011(v1.0)" xfId="467"/>
    <cellStyle name="40% - Акцент6 7" xfId="468"/>
    <cellStyle name="40% - Акцент6 7 2" xfId="469"/>
    <cellStyle name="40% - Акцент6 7_46EE.2011(v1.0)" xfId="470"/>
    <cellStyle name="40% - Акцент6 8" xfId="471"/>
    <cellStyle name="40% - Акцент6 8 2" xfId="472"/>
    <cellStyle name="40% - Акцент6 8 3" xfId="473"/>
    <cellStyle name="40% - Акцент6 8_46EE.2011(v1.0)" xfId="474"/>
    <cellStyle name="40% - Акцент6 9" xfId="475"/>
    <cellStyle name="40% - Акцент6 9 2" xfId="476"/>
    <cellStyle name="40% - Акцент6 9_46EE.2011(v1.0)" xfId="477"/>
    <cellStyle name="60% - Accent1" xfId="478"/>
    <cellStyle name="60% - Accent2" xfId="479"/>
    <cellStyle name="60% - Accent3" xfId="480"/>
    <cellStyle name="60% - Accent4" xfId="481"/>
    <cellStyle name="60% - Accent5" xfId="482"/>
    <cellStyle name="60% - Accent6" xfId="483"/>
    <cellStyle name="60% - Акцент1 2" xfId="484"/>
    <cellStyle name="60% - Акцент1 2 2" xfId="485"/>
    <cellStyle name="60% - Акцент1 3" xfId="486"/>
    <cellStyle name="60% - Акцент1 3 2" xfId="487"/>
    <cellStyle name="60% - Акцент1 4" xfId="488"/>
    <cellStyle name="60% - Акцент1 4 2" xfId="489"/>
    <cellStyle name="60% - Акцент1 5" xfId="490"/>
    <cellStyle name="60% - Акцент1 5 2" xfId="491"/>
    <cellStyle name="60% - Акцент1 6" xfId="492"/>
    <cellStyle name="60% - Акцент1 6 2" xfId="493"/>
    <cellStyle name="60% - Акцент1 7" xfId="494"/>
    <cellStyle name="60% - Акцент1 7 2" xfId="495"/>
    <cellStyle name="60% - Акцент1 8" xfId="496"/>
    <cellStyle name="60% - Акцент1 8 2" xfId="497"/>
    <cellStyle name="60% - Акцент1 9" xfId="498"/>
    <cellStyle name="60% - Акцент1 9 2" xfId="499"/>
    <cellStyle name="60% - Акцент2 2" xfId="500"/>
    <cellStyle name="60% - Акцент2 2 2" xfId="501"/>
    <cellStyle name="60% - Акцент2 3" xfId="502"/>
    <cellStyle name="60% - Акцент2 3 2" xfId="503"/>
    <cellStyle name="60% - Акцент2 4" xfId="504"/>
    <cellStyle name="60% - Акцент2 4 2" xfId="505"/>
    <cellStyle name="60% - Акцент2 5" xfId="506"/>
    <cellStyle name="60% - Акцент2 5 2" xfId="507"/>
    <cellStyle name="60% - Акцент2 6" xfId="508"/>
    <cellStyle name="60% - Акцент2 6 2" xfId="509"/>
    <cellStyle name="60% - Акцент2 7" xfId="510"/>
    <cellStyle name="60% - Акцент2 7 2" xfId="511"/>
    <cellStyle name="60% - Акцент2 8" xfId="512"/>
    <cellStyle name="60% - Акцент2 8 2" xfId="513"/>
    <cellStyle name="60% - Акцент2 9" xfId="514"/>
    <cellStyle name="60% - Акцент2 9 2" xfId="515"/>
    <cellStyle name="60% - Акцент3 2" xfId="516"/>
    <cellStyle name="60% - Акцент3 2 2" xfId="517"/>
    <cellStyle name="60% - Акцент3 3" xfId="518"/>
    <cellStyle name="60% - Акцент3 3 2" xfId="519"/>
    <cellStyle name="60% - Акцент3 4" xfId="520"/>
    <cellStyle name="60% - Акцент3 4 2" xfId="521"/>
    <cellStyle name="60% - Акцент3 5" xfId="522"/>
    <cellStyle name="60% - Акцент3 5 2" xfId="523"/>
    <cellStyle name="60% - Акцент3 6" xfId="524"/>
    <cellStyle name="60% - Акцент3 6 2" xfId="525"/>
    <cellStyle name="60% - Акцент3 7" xfId="526"/>
    <cellStyle name="60% - Акцент3 7 2" xfId="527"/>
    <cellStyle name="60% - Акцент3 8" xfId="528"/>
    <cellStyle name="60% - Акцент3 8 2" xfId="529"/>
    <cellStyle name="60% - Акцент3 9" xfId="530"/>
    <cellStyle name="60% - Акцент3 9 2" xfId="531"/>
    <cellStyle name="60% - Акцент4 2" xfId="532"/>
    <cellStyle name="60% - Акцент4 2 2" xfId="533"/>
    <cellStyle name="60% - Акцент4 3" xfId="534"/>
    <cellStyle name="60% - Акцент4 3 2" xfId="535"/>
    <cellStyle name="60% - Акцент4 4" xfId="536"/>
    <cellStyle name="60% - Акцент4 4 2" xfId="537"/>
    <cellStyle name="60% - Акцент4 5" xfId="538"/>
    <cellStyle name="60% - Акцент4 5 2" xfId="539"/>
    <cellStyle name="60% - Акцент4 6" xfId="540"/>
    <cellStyle name="60% - Акцент4 6 2" xfId="541"/>
    <cellStyle name="60% - Акцент4 7" xfId="542"/>
    <cellStyle name="60% - Акцент4 7 2" xfId="543"/>
    <cellStyle name="60% - Акцент4 8" xfId="544"/>
    <cellStyle name="60% - Акцент4 8 2" xfId="545"/>
    <cellStyle name="60% - Акцент4 9" xfId="546"/>
    <cellStyle name="60% - Акцент4 9 2" xfId="547"/>
    <cellStyle name="60% - Акцент5 2" xfId="548"/>
    <cellStyle name="60% - Акцент5 2 2" xfId="549"/>
    <cellStyle name="60% - Акцент5 3" xfId="550"/>
    <cellStyle name="60% - Акцент5 3 2" xfId="551"/>
    <cellStyle name="60% - Акцент5 4" xfId="552"/>
    <cellStyle name="60% - Акцент5 4 2" xfId="553"/>
    <cellStyle name="60% - Акцент5 5" xfId="554"/>
    <cellStyle name="60% - Акцент5 5 2" xfId="555"/>
    <cellStyle name="60% - Акцент5 6" xfId="556"/>
    <cellStyle name="60% - Акцент5 6 2" xfId="557"/>
    <cellStyle name="60% - Акцент5 7" xfId="558"/>
    <cellStyle name="60% - Акцент5 7 2" xfId="559"/>
    <cellStyle name="60% - Акцент5 8" xfId="560"/>
    <cellStyle name="60% - Акцент5 8 2" xfId="561"/>
    <cellStyle name="60% - Акцент5 9" xfId="562"/>
    <cellStyle name="60% - Акцент5 9 2" xfId="563"/>
    <cellStyle name="60% - Акцент6 2" xfId="564"/>
    <cellStyle name="60% - Акцент6 2 2" xfId="565"/>
    <cellStyle name="60% - Акцент6 3" xfId="566"/>
    <cellStyle name="60% - Акцент6 3 2" xfId="567"/>
    <cellStyle name="60% - Акцент6 4" xfId="568"/>
    <cellStyle name="60% - Акцент6 4 2" xfId="569"/>
    <cellStyle name="60% - Акцент6 5" xfId="570"/>
    <cellStyle name="60% - Акцент6 5 2" xfId="571"/>
    <cellStyle name="60% - Акцент6 6" xfId="572"/>
    <cellStyle name="60% - Акцент6 6 2" xfId="573"/>
    <cellStyle name="60% - Акцент6 7" xfId="574"/>
    <cellStyle name="60% - Акцент6 7 2" xfId="575"/>
    <cellStyle name="60% - Акцент6 8" xfId="576"/>
    <cellStyle name="60% - Акцент6 8 2" xfId="577"/>
    <cellStyle name="60% - Акцент6 9" xfId="578"/>
    <cellStyle name="60% - Акцент6 9 2" xfId="579"/>
    <cellStyle name="Aaia?iue [0]_?anoiau" xfId="1559"/>
    <cellStyle name="Aaia?iue_?anoiau" xfId="1560"/>
    <cellStyle name="Accent1" xfId="580"/>
    <cellStyle name="Accent2" xfId="581"/>
    <cellStyle name="Accent3" xfId="582"/>
    <cellStyle name="Accent4" xfId="583"/>
    <cellStyle name="Accent5" xfId="584"/>
    <cellStyle name="Accent6" xfId="585"/>
    <cellStyle name="Ăčďĺđńńűëęŕ" xfId="586"/>
    <cellStyle name="Aeia?nnueea" xfId="1561"/>
    <cellStyle name="Áĺççŕůčňíűé" xfId="587"/>
    <cellStyle name="Äĺíĺćíűé [0]_(ňŕá 3č)" xfId="588"/>
    <cellStyle name="Äĺíĺćíűé_(ňŕá 3č)" xfId="589"/>
    <cellStyle name="Bad" xfId="590"/>
    <cellStyle name="Calc Currency (0)" xfId="1562"/>
    <cellStyle name="Calculation" xfId="591"/>
    <cellStyle name="Check Cell" xfId="592"/>
    <cellStyle name="Comma [0]_(1)" xfId="1563"/>
    <cellStyle name="Comma_(1)" xfId="1564"/>
    <cellStyle name="Comma0" xfId="593"/>
    <cellStyle name="Çŕůčňíűé" xfId="594"/>
    <cellStyle name="Currency [0]" xfId="595"/>
    <cellStyle name="Currency [0] 2" xfId="596"/>
    <cellStyle name="Currency [0] 2 2" xfId="597"/>
    <cellStyle name="Currency [0] 2 3" xfId="598"/>
    <cellStyle name="Currency [0] 2 4" xfId="599"/>
    <cellStyle name="Currency [0] 2 5" xfId="600"/>
    <cellStyle name="Currency [0] 2 6" xfId="601"/>
    <cellStyle name="Currency [0] 2 7" xfId="602"/>
    <cellStyle name="Currency [0] 2 8" xfId="603"/>
    <cellStyle name="Currency [0] 2 9" xfId="604"/>
    <cellStyle name="Currency [0] 3" xfId="605"/>
    <cellStyle name="Currency [0] 3 2" xfId="606"/>
    <cellStyle name="Currency [0] 3 3" xfId="607"/>
    <cellStyle name="Currency [0] 3 4" xfId="608"/>
    <cellStyle name="Currency [0] 3 5" xfId="609"/>
    <cellStyle name="Currency [0] 3 6" xfId="610"/>
    <cellStyle name="Currency [0] 3 7" xfId="611"/>
    <cellStyle name="Currency [0] 3 8" xfId="612"/>
    <cellStyle name="Currency [0] 3 9" xfId="613"/>
    <cellStyle name="Currency [0] 4" xfId="614"/>
    <cellStyle name="Currency [0] 4 2" xfId="615"/>
    <cellStyle name="Currency [0] 4 3" xfId="616"/>
    <cellStyle name="Currency [0] 4 4" xfId="617"/>
    <cellStyle name="Currency [0] 4 5" xfId="618"/>
    <cellStyle name="Currency [0] 4 6" xfId="619"/>
    <cellStyle name="Currency [0] 4 7" xfId="620"/>
    <cellStyle name="Currency [0] 4 8" xfId="621"/>
    <cellStyle name="Currency [0] 4 9" xfId="622"/>
    <cellStyle name="Currency [0] 5" xfId="623"/>
    <cellStyle name="Currency [0] 5 2" xfId="624"/>
    <cellStyle name="Currency [0] 5 3" xfId="625"/>
    <cellStyle name="Currency [0] 5 4" xfId="626"/>
    <cellStyle name="Currency [0] 5 5" xfId="627"/>
    <cellStyle name="Currency [0] 5 6" xfId="628"/>
    <cellStyle name="Currency [0] 5 7" xfId="629"/>
    <cellStyle name="Currency [0] 5 8" xfId="630"/>
    <cellStyle name="Currency [0] 5 9" xfId="631"/>
    <cellStyle name="Currency [0] 6" xfId="632"/>
    <cellStyle name="Currency [0] 6 2" xfId="633"/>
    <cellStyle name="Currency [0] 7" xfId="634"/>
    <cellStyle name="Currency [0] 7 2" xfId="635"/>
    <cellStyle name="Currency [0] 8" xfId="636"/>
    <cellStyle name="Currency [0] 8 2" xfId="637"/>
    <cellStyle name="Currency_(1)" xfId="1565"/>
    <cellStyle name="Currency0" xfId="638"/>
    <cellStyle name="Currency2" xfId="639"/>
    <cellStyle name="Đ_x0010_" xfId="1566"/>
    <cellStyle name="Đ_x0010_?䥘Ȏ_x0013_⤀጖ē??䆈Ȏ_x0013_⬀ጘē_x0010_?䦄Ȏ" xfId="1567"/>
    <cellStyle name="Đ_x0010_?䥘Ȏ_x0013_⤀጖ē??䆈Ȏ_x0013_⬀ጘē_x0010_?䦄Ȏ 1" xfId="1568"/>
    <cellStyle name="Đ_x0010_?䥘Ȏ_x0013_⤀጖ē??䆈Ȏ_x0013_⬀ጘē_x0010_?䦄Ȏ 2" xfId="1569"/>
    <cellStyle name="Đ_x0010_?䥘Ȏ_x0013_⤀጖ē??䆈Ȏ_x0013_⬀ጘē_x0010_?䦄Ȏ_Анкета и Приложения 2011 В.снаб.и В.отвед." xfId="1570"/>
    <cellStyle name="Đ_x0010__Анкета и Приложения 2010_ВиВ" xfId="1571"/>
    <cellStyle name="Date" xfId="640"/>
    <cellStyle name="Dates" xfId="641"/>
    <cellStyle name="Dezimal [0]_Compiling Utility Macros" xfId="1572"/>
    <cellStyle name="Dezimal_Compiling Utility Macros" xfId="1573"/>
    <cellStyle name="E-mail" xfId="642"/>
    <cellStyle name="Euro" xfId="643"/>
    <cellStyle name="Explanatory Text" xfId="644"/>
    <cellStyle name="Explanatory Text 2" xfId="645"/>
    <cellStyle name="F2" xfId="646"/>
    <cellStyle name="F3" xfId="647"/>
    <cellStyle name="F4" xfId="648"/>
    <cellStyle name="F5" xfId="649"/>
    <cellStyle name="F6" xfId="650"/>
    <cellStyle name="F7" xfId="651"/>
    <cellStyle name="F8" xfId="652"/>
    <cellStyle name="Fixed" xfId="653"/>
    <cellStyle name="Followed Hyperlink" xfId="654"/>
    <cellStyle name="Good" xfId="655"/>
    <cellStyle name="Header1" xfId="1574"/>
    <cellStyle name="Header2" xfId="1575"/>
    <cellStyle name="Heading" xfId="656"/>
    <cellStyle name="Heading 1" xfId="657"/>
    <cellStyle name="Heading 1 2" xfId="658"/>
    <cellStyle name="Heading 2" xfId="659"/>
    <cellStyle name="Heading 3" xfId="660"/>
    <cellStyle name="Heading 4" xfId="661"/>
    <cellStyle name="Heading2" xfId="662"/>
    <cellStyle name="Hyperlink" xfId="663"/>
    <cellStyle name="Iau?iue_?anoiau" xfId="1576"/>
    <cellStyle name="Îáű÷íűé__FES" xfId="664"/>
    <cellStyle name="Îňęđűâŕâřŕ˙ń˙ ăčďĺđńńűëęŕ" xfId="665"/>
    <cellStyle name="Input" xfId="666"/>
    <cellStyle name="InputMultiple1" xfId="667"/>
    <cellStyle name="Inputs" xfId="668"/>
    <cellStyle name="Inputs (const)" xfId="669"/>
    <cellStyle name="Inputs Co" xfId="670"/>
    <cellStyle name="Inputs_46EE.2011(v1.0)" xfId="671"/>
    <cellStyle name="Ioe?uaaaoayny aeia?nnueea" xfId="1577"/>
    <cellStyle name="ISO" xfId="1578"/>
    <cellStyle name="JR Cells No Values" xfId="1579"/>
    <cellStyle name="JR_ formula" xfId="1580"/>
    <cellStyle name="JRchapeau" xfId="1581"/>
    <cellStyle name="Just_Table" xfId="1582"/>
    <cellStyle name="Linked Cell" xfId="672"/>
    <cellStyle name="Milliers_FA_JUIN_2004" xfId="1583"/>
    <cellStyle name="Moneda [0]_RESULTS" xfId="673"/>
    <cellStyle name="Monйtaire [0]_Conversion Summary" xfId="1584"/>
    <cellStyle name="Monйtaire_Conversion Summary" xfId="1585"/>
    <cellStyle name="Neutral" xfId="674"/>
    <cellStyle name="normal" xfId="675"/>
    <cellStyle name="normal 16" xfId="676"/>
    <cellStyle name="Normal 2" xfId="677"/>
    <cellStyle name="normal 23" xfId="678"/>
    <cellStyle name="normal 3" xfId="679"/>
    <cellStyle name="normal 4" xfId="680"/>
    <cellStyle name="normal 5" xfId="681"/>
    <cellStyle name="normal 6" xfId="682"/>
    <cellStyle name="normal 7" xfId="683"/>
    <cellStyle name="normal 8" xfId="684"/>
    <cellStyle name="normal 9" xfId="685"/>
    <cellStyle name="normal_1" xfId="686"/>
    <cellStyle name="Normal1" xfId="687"/>
    <cellStyle name="Normal2" xfId="688"/>
    <cellStyle name="normбlnм_laroux" xfId="689"/>
    <cellStyle name="Note" xfId="690"/>
    <cellStyle name="Ôčíŕíńîâűé [0]_(ňŕá 3č)" xfId="691"/>
    <cellStyle name="Ôčíŕíńîâűé_(ňŕá 3č)" xfId="692"/>
    <cellStyle name="Oeiainiaue [0]_?anoiau" xfId="1586"/>
    <cellStyle name="Oeiainiaue_?anoiau" xfId="1587"/>
    <cellStyle name="Option" xfId="693"/>
    <cellStyle name="Ouny?e [0]_?anoiau" xfId="1588"/>
    <cellStyle name="Ouny?e_?anoiau" xfId="1589"/>
    <cellStyle name="Output" xfId="694"/>
    <cellStyle name="Paaotsikko" xfId="1590"/>
    <cellStyle name="Percent1" xfId="695"/>
    <cellStyle name="Price_Body" xfId="696"/>
    <cellStyle name="protect" xfId="1591"/>
    <cellStyle name="Pддotsikko" xfId="1592"/>
    <cellStyle name="QTitle" xfId="1593"/>
    <cellStyle name="range" xfId="1594"/>
    <cellStyle name="SAPBEXaggData" xfId="697"/>
    <cellStyle name="SAPBEXaggDataEmph" xfId="698"/>
    <cellStyle name="SAPBEXaggItem" xfId="699"/>
    <cellStyle name="SAPBEXaggItemX" xfId="700"/>
    <cellStyle name="SAPBEXchaText" xfId="701"/>
    <cellStyle name="SAPBEXexcBad7" xfId="702"/>
    <cellStyle name="SAPBEXexcBad8" xfId="703"/>
    <cellStyle name="SAPBEXexcBad9" xfId="704"/>
    <cellStyle name="SAPBEXexcCritical4" xfId="705"/>
    <cellStyle name="SAPBEXexcCritical5" xfId="706"/>
    <cellStyle name="SAPBEXexcCritical6" xfId="707"/>
    <cellStyle name="SAPBEXexcGood1" xfId="708"/>
    <cellStyle name="SAPBEXexcGood2" xfId="709"/>
    <cellStyle name="SAPBEXexcGood3" xfId="710"/>
    <cellStyle name="SAPBEXfilterDrill" xfId="711"/>
    <cellStyle name="SAPBEXfilterItem" xfId="712"/>
    <cellStyle name="SAPBEXfilterText" xfId="713"/>
    <cellStyle name="SAPBEXformats" xfId="714"/>
    <cellStyle name="SAPBEXheaderItem" xfId="715"/>
    <cellStyle name="SAPBEXheaderText" xfId="716"/>
    <cellStyle name="SAPBEXHLevel0" xfId="717"/>
    <cellStyle name="SAPBEXHLevel0X" xfId="718"/>
    <cellStyle name="SAPBEXHLevel1" xfId="719"/>
    <cellStyle name="SAPBEXHLevel1X" xfId="720"/>
    <cellStyle name="SAPBEXHLevel2" xfId="721"/>
    <cellStyle name="SAPBEXHLevel2X" xfId="722"/>
    <cellStyle name="SAPBEXHLevel3" xfId="723"/>
    <cellStyle name="SAPBEXHLevel3X" xfId="724"/>
    <cellStyle name="SAPBEXinputData" xfId="725"/>
    <cellStyle name="SAPBEXresData" xfId="726"/>
    <cellStyle name="SAPBEXresDataEmph" xfId="727"/>
    <cellStyle name="SAPBEXresItem" xfId="728"/>
    <cellStyle name="SAPBEXresItemX" xfId="729"/>
    <cellStyle name="SAPBEXstdData" xfId="730"/>
    <cellStyle name="SAPBEXstdDataEmph" xfId="731"/>
    <cellStyle name="SAPBEXstdItem" xfId="732"/>
    <cellStyle name="SAPBEXstdItemX" xfId="733"/>
    <cellStyle name="SAPBEXtitle" xfId="734"/>
    <cellStyle name="SAPBEXundefined" xfId="735"/>
    <cellStyle name="Standard_Anpassen der Amortisation" xfId="1595"/>
    <cellStyle name="Style 1" xfId="736"/>
    <cellStyle name="t2" xfId="1596"/>
    <cellStyle name="Table Heading" xfId="737"/>
    <cellStyle name="Table Text" xfId="738"/>
    <cellStyle name="Text" xfId="739"/>
    <cellStyle name="Tioma Back" xfId="1597"/>
    <cellStyle name="Tioma Cells No Values" xfId="1598"/>
    <cellStyle name="Tioma formula" xfId="1599"/>
    <cellStyle name="Tioma Input" xfId="1600"/>
    <cellStyle name="Tioma style" xfId="1601"/>
    <cellStyle name="Title" xfId="740"/>
    <cellStyle name="Total" xfId="741"/>
    <cellStyle name="Validation" xfId="1602"/>
    <cellStyle name="Valiotsikko" xfId="1603"/>
    <cellStyle name="Vдliotsikko" xfId="1604"/>
    <cellStyle name="Währung [0]_Compiling Utility Macros" xfId="1605"/>
    <cellStyle name="Währung_Compiling Utility Macros" xfId="1606"/>
    <cellStyle name="Warning Text" xfId="742"/>
    <cellStyle name="YelNumbersCurr" xfId="1607"/>
    <cellStyle name="Акцент1 10" xfId="743"/>
    <cellStyle name="Акцент1 2" xfId="744"/>
    <cellStyle name="Акцент1 2 2" xfId="745"/>
    <cellStyle name="Акцент1 3" xfId="746"/>
    <cellStyle name="Акцент1 3 2" xfId="747"/>
    <cellStyle name="Акцент1 4" xfId="748"/>
    <cellStyle name="Акцент1 4 2" xfId="749"/>
    <cellStyle name="Акцент1 5" xfId="750"/>
    <cellStyle name="Акцент1 5 2" xfId="751"/>
    <cellStyle name="Акцент1 6" xfId="752"/>
    <cellStyle name="Акцент1 6 2" xfId="753"/>
    <cellStyle name="Акцент1 7" xfId="754"/>
    <cellStyle name="Акцент1 7 2" xfId="755"/>
    <cellStyle name="Акцент1 8" xfId="756"/>
    <cellStyle name="Акцент1 8 2" xfId="757"/>
    <cellStyle name="Акцент1 9" xfId="758"/>
    <cellStyle name="Акцент1 9 2" xfId="759"/>
    <cellStyle name="Акцент2 11" xfId="760"/>
    <cellStyle name="Акцент2 2" xfId="761"/>
    <cellStyle name="Акцент2 2 2" xfId="762"/>
    <cellStyle name="Акцент2 3" xfId="763"/>
    <cellStyle name="Акцент2 3 2" xfId="764"/>
    <cellStyle name="Акцент2 4" xfId="765"/>
    <cellStyle name="Акцент2 4 2" xfId="766"/>
    <cellStyle name="Акцент2 5" xfId="767"/>
    <cellStyle name="Акцент2 5 2" xfId="768"/>
    <cellStyle name="Акцент2 6" xfId="769"/>
    <cellStyle name="Акцент2 6 2" xfId="770"/>
    <cellStyle name="Акцент2 7" xfId="771"/>
    <cellStyle name="Акцент2 7 2" xfId="772"/>
    <cellStyle name="Акцент2 8" xfId="773"/>
    <cellStyle name="Акцент2 8 2" xfId="774"/>
    <cellStyle name="Акцент2 9" xfId="775"/>
    <cellStyle name="Акцент2 9 2" xfId="776"/>
    <cellStyle name="Акцент3 2" xfId="777"/>
    <cellStyle name="Акцент3 2 2" xfId="778"/>
    <cellStyle name="Акцент3 3" xfId="779"/>
    <cellStyle name="Акцент3 3 2" xfId="780"/>
    <cellStyle name="Акцент3 4" xfId="781"/>
    <cellStyle name="Акцент3 4 2" xfId="782"/>
    <cellStyle name="Акцент3 5" xfId="783"/>
    <cellStyle name="Акцент3 5 2" xfId="784"/>
    <cellStyle name="Акцент3 6" xfId="785"/>
    <cellStyle name="Акцент3 6 2" xfId="786"/>
    <cellStyle name="Акцент3 7" xfId="787"/>
    <cellStyle name="Акцент3 7 2" xfId="788"/>
    <cellStyle name="Акцент3 8" xfId="789"/>
    <cellStyle name="Акцент3 8 2" xfId="790"/>
    <cellStyle name="Акцент3 9" xfId="791"/>
    <cellStyle name="Акцент3 9 2" xfId="792"/>
    <cellStyle name="Акцент4 2" xfId="793"/>
    <cellStyle name="Акцент4 2 2" xfId="794"/>
    <cellStyle name="Акцент4 3" xfId="795"/>
    <cellStyle name="Акцент4 3 2" xfId="796"/>
    <cellStyle name="Акцент4 4" xfId="797"/>
    <cellStyle name="Акцент4 4 2" xfId="798"/>
    <cellStyle name="Акцент4 5" xfId="799"/>
    <cellStyle name="Акцент4 5 2" xfId="800"/>
    <cellStyle name="Акцент4 6" xfId="801"/>
    <cellStyle name="Акцент4 6 2" xfId="802"/>
    <cellStyle name="Акцент4 7" xfId="803"/>
    <cellStyle name="Акцент4 7 2" xfId="804"/>
    <cellStyle name="Акцент4 8" xfId="805"/>
    <cellStyle name="Акцент4 8 2" xfId="806"/>
    <cellStyle name="Акцент4 9" xfId="807"/>
    <cellStyle name="Акцент4 9 2" xfId="808"/>
    <cellStyle name="Акцент5 10" xfId="809"/>
    <cellStyle name="Акцент5 2" xfId="810"/>
    <cellStyle name="Акцент5 2 2" xfId="811"/>
    <cellStyle name="Акцент5 3" xfId="812"/>
    <cellStyle name="Акцент5 3 2" xfId="813"/>
    <cellStyle name="Акцент5 4" xfId="814"/>
    <cellStyle name="Акцент5 4 2" xfId="815"/>
    <cellStyle name="Акцент5 5" xfId="816"/>
    <cellStyle name="Акцент5 5 2" xfId="817"/>
    <cellStyle name="Акцент5 6" xfId="818"/>
    <cellStyle name="Акцент5 6 2" xfId="819"/>
    <cellStyle name="Акцент5 7" xfId="820"/>
    <cellStyle name="Акцент5 7 2" xfId="821"/>
    <cellStyle name="Акцент5 8" xfId="822"/>
    <cellStyle name="Акцент5 8 2" xfId="823"/>
    <cellStyle name="Акцент5 9" xfId="824"/>
    <cellStyle name="Акцент5 9 2" xfId="825"/>
    <cellStyle name="Акцент6 2" xfId="826"/>
    <cellStyle name="Акцент6 2 2" xfId="827"/>
    <cellStyle name="Акцент6 3" xfId="828"/>
    <cellStyle name="Акцент6 3 2" xfId="829"/>
    <cellStyle name="Акцент6 4" xfId="830"/>
    <cellStyle name="Акцент6 4 2" xfId="831"/>
    <cellStyle name="Акцент6 5" xfId="832"/>
    <cellStyle name="Акцент6 5 2" xfId="833"/>
    <cellStyle name="Акцент6 6" xfId="834"/>
    <cellStyle name="Акцент6 6 2" xfId="835"/>
    <cellStyle name="Акцент6 7" xfId="836"/>
    <cellStyle name="Акцент6 7 2" xfId="837"/>
    <cellStyle name="Акцент6 8" xfId="838"/>
    <cellStyle name="Акцент6 8 2" xfId="839"/>
    <cellStyle name="Акцент6 9" xfId="840"/>
    <cellStyle name="Акцент6 9 2" xfId="841"/>
    <cellStyle name="Беззащитный" xfId="842"/>
    <cellStyle name="Ввод  2" xfId="843"/>
    <cellStyle name="Ввод  2 2" xfId="844"/>
    <cellStyle name="Ввод  2_46EE.2011(v1.0)" xfId="845"/>
    <cellStyle name="Ввод  3" xfId="846"/>
    <cellStyle name="Ввод  3 2" xfId="847"/>
    <cellStyle name="Ввод  3_46EE.2011(v1.0)" xfId="848"/>
    <cellStyle name="Ввод  4" xfId="849"/>
    <cellStyle name="Ввод  4 2" xfId="850"/>
    <cellStyle name="Ввод  4_46EE.2011(v1.0)" xfId="851"/>
    <cellStyle name="Ввод  5" xfId="852"/>
    <cellStyle name="Ввод  5 2" xfId="853"/>
    <cellStyle name="Ввод  5_46EE.2011(v1.0)" xfId="854"/>
    <cellStyle name="Ввод  6" xfId="855"/>
    <cellStyle name="Ввод  6 2" xfId="856"/>
    <cellStyle name="Ввод  6_46EE.2011(v1.0)" xfId="857"/>
    <cellStyle name="Ввод  7" xfId="858"/>
    <cellStyle name="Ввод  7 2" xfId="859"/>
    <cellStyle name="Ввод  7_46EE.2011(v1.0)" xfId="860"/>
    <cellStyle name="Ввод  8" xfId="861"/>
    <cellStyle name="Ввод  8 2" xfId="862"/>
    <cellStyle name="Ввод  8_46EE.2011(v1.0)" xfId="863"/>
    <cellStyle name="Ввод  9" xfId="864"/>
    <cellStyle name="Ввод  9 2" xfId="865"/>
    <cellStyle name="Ввод  9_46EE.2011(v1.0)" xfId="866"/>
    <cellStyle name="Вывод 2" xfId="867"/>
    <cellStyle name="Вывод 2 2" xfId="868"/>
    <cellStyle name="Вывод 2_46EE.2011(v1.0)" xfId="869"/>
    <cellStyle name="Вывод 3" xfId="870"/>
    <cellStyle name="Вывод 3 2" xfId="871"/>
    <cellStyle name="Вывод 3_46EE.2011(v1.0)" xfId="872"/>
    <cellStyle name="Вывод 4" xfId="873"/>
    <cellStyle name="Вывод 4 2" xfId="874"/>
    <cellStyle name="Вывод 4_46EE.2011(v1.0)" xfId="875"/>
    <cellStyle name="Вывод 5" xfId="876"/>
    <cellStyle name="Вывод 5 2" xfId="877"/>
    <cellStyle name="Вывод 5_46EE.2011(v1.0)" xfId="878"/>
    <cellStyle name="Вывод 6" xfId="879"/>
    <cellStyle name="Вывод 6 2" xfId="880"/>
    <cellStyle name="Вывод 6_46EE.2011(v1.0)" xfId="881"/>
    <cellStyle name="Вывод 7" xfId="882"/>
    <cellStyle name="Вывод 7 2" xfId="883"/>
    <cellStyle name="Вывод 7_46EE.2011(v1.0)" xfId="884"/>
    <cellStyle name="Вывод 8" xfId="885"/>
    <cellStyle name="Вывод 8 2" xfId="886"/>
    <cellStyle name="Вывод 8_46EE.2011(v1.0)" xfId="887"/>
    <cellStyle name="Вывод 9" xfId="888"/>
    <cellStyle name="Вывод 9 2" xfId="889"/>
    <cellStyle name="Вывод 9_46EE.2011(v1.0)" xfId="890"/>
    <cellStyle name="Вычисление 2" xfId="891"/>
    <cellStyle name="Вычисление 2 2" xfId="892"/>
    <cellStyle name="Вычисление 2_46EE.2011(v1.0)" xfId="893"/>
    <cellStyle name="Вычисление 3" xfId="894"/>
    <cellStyle name="Вычисление 3 2" xfId="895"/>
    <cellStyle name="Вычисление 3_46EE.2011(v1.0)" xfId="896"/>
    <cellStyle name="Вычисление 4" xfId="897"/>
    <cellStyle name="Вычисление 4 2" xfId="898"/>
    <cellStyle name="Вычисление 4_46EE.2011(v1.0)" xfId="899"/>
    <cellStyle name="Вычисление 5" xfId="900"/>
    <cellStyle name="Вычисление 5 2" xfId="901"/>
    <cellStyle name="Вычисление 5_46EE.2011(v1.0)" xfId="902"/>
    <cellStyle name="Вычисление 6" xfId="903"/>
    <cellStyle name="Вычисление 6 2" xfId="904"/>
    <cellStyle name="Вычисление 6_46EE.2011(v1.0)" xfId="905"/>
    <cellStyle name="Вычисление 7" xfId="906"/>
    <cellStyle name="Вычисление 7 2" xfId="907"/>
    <cellStyle name="Вычисление 7_46EE.2011(v1.0)" xfId="908"/>
    <cellStyle name="Вычисление 8" xfId="909"/>
    <cellStyle name="Вычисление 8 2" xfId="910"/>
    <cellStyle name="Вычисление 8_46EE.2011(v1.0)" xfId="911"/>
    <cellStyle name="Вычисление 9" xfId="912"/>
    <cellStyle name="Вычисление 9 2" xfId="913"/>
    <cellStyle name="Вычисление 9_46EE.2011(v1.0)" xfId="914"/>
    <cellStyle name="Гиперссылка" xfId="1442" builtinId="8"/>
    <cellStyle name="Гиперссылка 2" xfId="915"/>
    <cellStyle name="Гиперссылка 3" xfId="916"/>
    <cellStyle name="Группа 3" xfId="917"/>
    <cellStyle name="Группа 8" xfId="918"/>
    <cellStyle name="ДАТА" xfId="919"/>
    <cellStyle name="ДАТА 2" xfId="920"/>
    <cellStyle name="ДАТА 3" xfId="921"/>
    <cellStyle name="ДАТА 4" xfId="922"/>
    <cellStyle name="ДАТА 5" xfId="923"/>
    <cellStyle name="ДАТА 6" xfId="924"/>
    <cellStyle name="ДАТА 7" xfId="925"/>
    <cellStyle name="ДАТА 8" xfId="926"/>
    <cellStyle name="ДАТА_1" xfId="927"/>
    <cellStyle name="Денежный 2" xfId="928"/>
    <cellStyle name="Денежный 3" xfId="1608"/>
    <cellStyle name="Заголовок" xfId="929"/>
    <cellStyle name="Заголовок 1 1 1" xfId="930"/>
    <cellStyle name="Заголовок 1 2" xfId="931"/>
    <cellStyle name="Заголовок 1 2 2" xfId="932"/>
    <cellStyle name="Заголовок 1 2_46EE.2011(v1.0)" xfId="933"/>
    <cellStyle name="Заголовок 1 3" xfId="934"/>
    <cellStyle name="Заголовок 1 3 2" xfId="935"/>
    <cellStyle name="Заголовок 1 3_46EE.2011(v1.0)" xfId="936"/>
    <cellStyle name="Заголовок 1 4" xfId="937"/>
    <cellStyle name="Заголовок 1 4 2" xfId="938"/>
    <cellStyle name="Заголовок 1 4_46EE.2011(v1.0)" xfId="939"/>
    <cellStyle name="Заголовок 1 5" xfId="940"/>
    <cellStyle name="Заголовок 1 5 2" xfId="941"/>
    <cellStyle name="Заголовок 1 5_46EE.2011(v1.0)" xfId="942"/>
    <cellStyle name="Заголовок 1 6" xfId="943"/>
    <cellStyle name="Заголовок 1 6 2" xfId="944"/>
    <cellStyle name="Заголовок 1 6_46EE.2011(v1.0)" xfId="945"/>
    <cellStyle name="Заголовок 1 7" xfId="946"/>
    <cellStyle name="Заголовок 1 7 2" xfId="947"/>
    <cellStyle name="Заголовок 1 7_46EE.2011(v1.0)" xfId="948"/>
    <cellStyle name="Заголовок 1 8" xfId="949"/>
    <cellStyle name="Заголовок 1 8 2" xfId="950"/>
    <cellStyle name="Заголовок 1 8_46EE.2011(v1.0)" xfId="951"/>
    <cellStyle name="Заголовок 1 9" xfId="952"/>
    <cellStyle name="Заголовок 1 9 2" xfId="953"/>
    <cellStyle name="Заголовок 1 9_46EE.2011(v1.0)" xfId="954"/>
    <cellStyle name="Заголовок 2 2" xfId="955"/>
    <cellStyle name="Заголовок 2 2 2" xfId="956"/>
    <cellStyle name="Заголовок 2 2_46EE.2011(v1.0)" xfId="957"/>
    <cellStyle name="Заголовок 2 3" xfId="958"/>
    <cellStyle name="Заголовок 2 3 2" xfId="959"/>
    <cellStyle name="Заголовок 2 3_46EE.2011(v1.0)" xfId="960"/>
    <cellStyle name="Заголовок 2 4" xfId="961"/>
    <cellStyle name="Заголовок 2 4 2" xfId="962"/>
    <cellStyle name="Заголовок 2 4_46EE.2011(v1.0)" xfId="963"/>
    <cellStyle name="Заголовок 2 5" xfId="964"/>
    <cellStyle name="Заголовок 2 5 2" xfId="965"/>
    <cellStyle name="Заголовок 2 5_46EE.2011(v1.0)" xfId="966"/>
    <cellStyle name="Заголовок 2 6" xfId="967"/>
    <cellStyle name="Заголовок 2 6 2" xfId="968"/>
    <cellStyle name="Заголовок 2 6_46EE.2011(v1.0)" xfId="969"/>
    <cellStyle name="Заголовок 2 7" xfId="970"/>
    <cellStyle name="Заголовок 2 7 2" xfId="971"/>
    <cellStyle name="Заголовок 2 7_46EE.2011(v1.0)" xfId="972"/>
    <cellStyle name="Заголовок 2 8" xfId="973"/>
    <cellStyle name="Заголовок 2 8 2" xfId="974"/>
    <cellStyle name="Заголовок 2 8_46EE.2011(v1.0)" xfId="975"/>
    <cellStyle name="Заголовок 2 9" xfId="976"/>
    <cellStyle name="Заголовок 2 9 2" xfId="977"/>
    <cellStyle name="Заголовок 2 9_46EE.2011(v1.0)" xfId="978"/>
    <cellStyle name="Заголовок 3 2" xfId="979"/>
    <cellStyle name="Заголовок 3 2 2" xfId="980"/>
    <cellStyle name="Заголовок 3 2_46EE.2011(v1.0)" xfId="981"/>
    <cellStyle name="Заголовок 3 3" xfId="982"/>
    <cellStyle name="Заголовок 3 3 2" xfId="983"/>
    <cellStyle name="Заголовок 3 3_46EE.2011(v1.0)" xfId="984"/>
    <cellStyle name="Заголовок 3 4" xfId="985"/>
    <cellStyle name="Заголовок 3 4 2" xfId="986"/>
    <cellStyle name="Заголовок 3 4_46EE.2011(v1.0)" xfId="987"/>
    <cellStyle name="Заголовок 3 5" xfId="988"/>
    <cellStyle name="Заголовок 3 5 2" xfId="989"/>
    <cellStyle name="Заголовок 3 5_46EE.2011(v1.0)" xfId="990"/>
    <cellStyle name="Заголовок 3 6" xfId="991"/>
    <cellStyle name="Заголовок 3 6 2" xfId="992"/>
    <cellStyle name="Заголовок 3 6_46EE.2011(v1.0)" xfId="993"/>
    <cellStyle name="Заголовок 3 7" xfId="994"/>
    <cellStyle name="Заголовок 3 7 2" xfId="995"/>
    <cellStyle name="Заголовок 3 7_46EE.2011(v1.0)" xfId="996"/>
    <cellStyle name="Заголовок 3 8" xfId="997"/>
    <cellStyle name="Заголовок 3 8 2" xfId="998"/>
    <cellStyle name="Заголовок 3 8_46EE.2011(v1.0)" xfId="999"/>
    <cellStyle name="Заголовок 3 9" xfId="1000"/>
    <cellStyle name="Заголовок 3 9 2" xfId="1001"/>
    <cellStyle name="Заголовок 3 9_46EE.2011(v1.0)" xfId="1002"/>
    <cellStyle name="Заголовок 4 2" xfId="1003"/>
    <cellStyle name="Заголовок 4 2 2" xfId="1004"/>
    <cellStyle name="Заголовок 4 3" xfId="1005"/>
    <cellStyle name="Заголовок 4 3 2" xfId="1006"/>
    <cellStyle name="Заголовок 4 4" xfId="1007"/>
    <cellStyle name="Заголовок 4 4 2" xfId="1008"/>
    <cellStyle name="Заголовок 4 5" xfId="1009"/>
    <cellStyle name="Заголовок 4 5 2" xfId="1010"/>
    <cellStyle name="Заголовок 4 6" xfId="1011"/>
    <cellStyle name="Заголовок 4 6 2" xfId="1012"/>
    <cellStyle name="Заголовок 4 7" xfId="1013"/>
    <cellStyle name="Заголовок 4 7 2" xfId="1014"/>
    <cellStyle name="Заголовок 4 8" xfId="1015"/>
    <cellStyle name="Заголовок 4 8 2" xfId="1016"/>
    <cellStyle name="Заголовок 4 9" xfId="1017"/>
    <cellStyle name="Заголовок 4 9 2" xfId="1018"/>
    <cellStyle name="ЗАГОЛОВОК1" xfId="1019"/>
    <cellStyle name="ЗАГОЛОВОК2" xfId="1020"/>
    <cellStyle name="ЗаголовокСтолбца" xfId="1021"/>
    <cellStyle name="Защитный" xfId="1022"/>
    <cellStyle name="Значение" xfId="1023"/>
    <cellStyle name="Зоголовок" xfId="1024"/>
    <cellStyle name="Итог 2" xfId="1025"/>
    <cellStyle name="Итог 2 2" xfId="1026"/>
    <cellStyle name="Итог 2_46EE.2011(v1.0)" xfId="1027"/>
    <cellStyle name="Итог 3" xfId="1028"/>
    <cellStyle name="Итог 3 2" xfId="1029"/>
    <cellStyle name="Итог 3_46EE.2011(v1.0)" xfId="1030"/>
    <cellStyle name="Итог 4" xfId="1031"/>
    <cellStyle name="Итог 4 2" xfId="1032"/>
    <cellStyle name="Итог 4_46EE.2011(v1.0)" xfId="1033"/>
    <cellStyle name="Итог 5" xfId="1034"/>
    <cellStyle name="Итог 5 2" xfId="1035"/>
    <cellStyle name="Итог 5_46EE.2011(v1.0)" xfId="1036"/>
    <cellStyle name="Итог 6" xfId="1037"/>
    <cellStyle name="Итог 6 2" xfId="1038"/>
    <cellStyle name="Итог 6_46EE.2011(v1.0)" xfId="1039"/>
    <cellStyle name="Итог 7" xfId="1040"/>
    <cellStyle name="Итог 7 2" xfId="1041"/>
    <cellStyle name="Итог 7_46EE.2011(v1.0)" xfId="1042"/>
    <cellStyle name="Итог 8" xfId="1043"/>
    <cellStyle name="Итог 8 2" xfId="1044"/>
    <cellStyle name="Итог 8_46EE.2011(v1.0)" xfId="1045"/>
    <cellStyle name="Итог 9" xfId="1046"/>
    <cellStyle name="Итог 9 2" xfId="1047"/>
    <cellStyle name="Итог 9_46EE.2011(v1.0)" xfId="1048"/>
    <cellStyle name="Итого" xfId="1049"/>
    <cellStyle name="ИТОГОВЫЙ" xfId="1050"/>
    <cellStyle name="ИТОГОВЫЙ 2" xfId="1051"/>
    <cellStyle name="ИТОГОВЫЙ 3" xfId="1052"/>
    <cellStyle name="ИТОГОВЫЙ 4" xfId="1053"/>
    <cellStyle name="ИТОГОВЫЙ 5" xfId="1054"/>
    <cellStyle name="ИТОГОВЫЙ 6" xfId="1055"/>
    <cellStyle name="ИТОГОВЫЙ 7" xfId="1056"/>
    <cellStyle name="ИТОГОВЫЙ 8" xfId="1057"/>
    <cellStyle name="ИТОГОВЫЙ_1" xfId="1058"/>
    <cellStyle name="Контрольная ячейка 2" xfId="1059"/>
    <cellStyle name="Контрольная ячейка 2 2" xfId="1060"/>
    <cellStyle name="Контрольная ячейка 2_46EE.2011(v1.0)" xfId="1061"/>
    <cellStyle name="Контрольная ячейка 3" xfId="1062"/>
    <cellStyle name="Контрольная ячейка 3 2" xfId="1063"/>
    <cellStyle name="Контрольная ячейка 3 3" xfId="1064"/>
    <cellStyle name="Контрольная ячейка 3_46EE.2011(v1.0)" xfId="1065"/>
    <cellStyle name="Контрольная ячейка 4" xfId="1066"/>
    <cellStyle name="Контрольная ячейка 4 2" xfId="1067"/>
    <cellStyle name="Контрольная ячейка 4_46EE.2011(v1.0)" xfId="1068"/>
    <cellStyle name="Контрольная ячейка 5" xfId="1069"/>
    <cellStyle name="Контрольная ячейка 5 2" xfId="1070"/>
    <cellStyle name="Контрольная ячейка 5_46EE.2011(v1.0)" xfId="1071"/>
    <cellStyle name="Контрольная ячейка 6" xfId="1072"/>
    <cellStyle name="Контрольная ячейка 6 2" xfId="1073"/>
    <cellStyle name="Контрольная ячейка 6_46EE.2011(v1.0)" xfId="1074"/>
    <cellStyle name="Контрольная ячейка 7" xfId="1075"/>
    <cellStyle name="Контрольная ячейка 7 2" xfId="1076"/>
    <cellStyle name="Контрольная ячейка 7_46EE.2011(v1.0)" xfId="1077"/>
    <cellStyle name="Контрольная ячейка 8" xfId="1078"/>
    <cellStyle name="Контрольная ячейка 8 2" xfId="1079"/>
    <cellStyle name="Контрольная ячейка 8 2 2" xfId="1080"/>
    <cellStyle name="Контрольная ячейка 8_46EE.2011(v1.0)" xfId="1081"/>
    <cellStyle name="Контрольная ячейка 9" xfId="1082"/>
    <cellStyle name="Контрольная ячейка 9 2" xfId="1083"/>
    <cellStyle name="Контрольная ячейка 9_46EE.2011(v1.0)" xfId="1084"/>
    <cellStyle name="Мой заголовок" xfId="1085"/>
    <cellStyle name="Мой заголовок листа" xfId="1086"/>
    <cellStyle name="Мои наименования показателей" xfId="1087"/>
    <cellStyle name="Мои наименования показателей 2" xfId="1088"/>
    <cellStyle name="Мои наименования показателей 2 2" xfId="1089"/>
    <cellStyle name="Мои наименования показателей 2 3" xfId="1090"/>
    <cellStyle name="Мои наименования показателей 2 4" xfId="1091"/>
    <cellStyle name="Мои наименования показателей 2 5" xfId="1092"/>
    <cellStyle name="Мои наименования показателей 2 6" xfId="1093"/>
    <cellStyle name="Мои наименования показателей 2 7" xfId="1094"/>
    <cellStyle name="Мои наименования показателей 2 8" xfId="1095"/>
    <cellStyle name="Мои наименования показателей 2_1" xfId="1096"/>
    <cellStyle name="Мои наименования показателей 3" xfId="1097"/>
    <cellStyle name="Мои наименования показателей 3 2" xfId="1098"/>
    <cellStyle name="Мои наименования показателей 3 3" xfId="1099"/>
    <cellStyle name="Мои наименования показателей 3 4" xfId="1100"/>
    <cellStyle name="Мои наименования показателей 3 5" xfId="1101"/>
    <cellStyle name="Мои наименования показателей 3 6" xfId="1102"/>
    <cellStyle name="Мои наименования показателей 3 7" xfId="1103"/>
    <cellStyle name="Мои наименования показателей 3 8" xfId="1104"/>
    <cellStyle name="Мои наименования показателей 3_1" xfId="1105"/>
    <cellStyle name="Мои наименования показателей 4" xfId="1106"/>
    <cellStyle name="Мои наименования показателей 4 2" xfId="1107"/>
    <cellStyle name="Мои наименования показателей 4 3" xfId="1108"/>
    <cellStyle name="Мои наименования показателей 4 4" xfId="1109"/>
    <cellStyle name="Мои наименования показателей 4 5" xfId="1110"/>
    <cellStyle name="Мои наименования показателей 4 6" xfId="1111"/>
    <cellStyle name="Мои наименования показателей 4 7" xfId="1112"/>
    <cellStyle name="Мои наименования показателей 4 8" xfId="1113"/>
    <cellStyle name="Мои наименования показателей 4 9" xfId="1114"/>
    <cellStyle name="Мои наименования показателей 4_1" xfId="1115"/>
    <cellStyle name="Мои наименования показателей 5" xfId="1116"/>
    <cellStyle name="Мои наименования показателей 5 2" xfId="1117"/>
    <cellStyle name="Мои наименования показателей 5 3" xfId="1118"/>
    <cellStyle name="Мои наименования показателей 5 4" xfId="1119"/>
    <cellStyle name="Мои наименования показателей 5 5" xfId="1120"/>
    <cellStyle name="Мои наименования показателей 5 6" xfId="1121"/>
    <cellStyle name="Мои наименования показателей 5 7" xfId="1122"/>
    <cellStyle name="Мои наименования показателей 5 8" xfId="1123"/>
    <cellStyle name="Мои наименования показателей 5_1" xfId="1124"/>
    <cellStyle name="Мои наименования показателей 6" xfId="1125"/>
    <cellStyle name="Мои наименования показателей 6 2" xfId="1126"/>
    <cellStyle name="Мои наименования показателей 6_46EE.2011(v1.0)" xfId="1127"/>
    <cellStyle name="Мои наименования показателей 7" xfId="1128"/>
    <cellStyle name="Мои наименования показателей 7 2" xfId="1129"/>
    <cellStyle name="Мои наименования показателей 7_46EE.2011(v1.0)" xfId="1130"/>
    <cellStyle name="Мои наименования показателей 8" xfId="1131"/>
    <cellStyle name="Мои наименования показателей 8 2" xfId="1132"/>
    <cellStyle name="Мои наименования показателей 8_46EE.2011(v1.0)" xfId="1133"/>
    <cellStyle name="Мои наименования показателей_46EE.2011" xfId="1134"/>
    <cellStyle name="назв фил" xfId="1135"/>
    <cellStyle name="Название 2" xfId="1136"/>
    <cellStyle name="Название 2 2" xfId="1137"/>
    <cellStyle name="Название 3" xfId="1138"/>
    <cellStyle name="Название 3 2" xfId="1139"/>
    <cellStyle name="Название 4" xfId="1140"/>
    <cellStyle name="Название 4 2" xfId="1141"/>
    <cellStyle name="Название 5" xfId="1142"/>
    <cellStyle name="Название 5 2" xfId="1143"/>
    <cellStyle name="Название 6" xfId="1144"/>
    <cellStyle name="Название 6 2" xfId="1145"/>
    <cellStyle name="Название 7" xfId="1146"/>
    <cellStyle name="Название 7 2" xfId="1147"/>
    <cellStyle name="Название 8" xfId="1148"/>
    <cellStyle name="Название 8 2" xfId="1149"/>
    <cellStyle name="Название 9" xfId="1150"/>
    <cellStyle name="Название 9 2" xfId="1151"/>
    <cellStyle name="Нейтральный 2" xfId="1152"/>
    <cellStyle name="Нейтральный 2 2" xfId="1153"/>
    <cellStyle name="Нейтральный 3" xfId="1154"/>
    <cellStyle name="Нейтральный 3 2" xfId="1155"/>
    <cellStyle name="Нейтральный 4" xfId="1156"/>
    <cellStyle name="Нейтральный 4 2" xfId="1157"/>
    <cellStyle name="Нейтральный 5" xfId="1158"/>
    <cellStyle name="Нейтральный 5 2" xfId="1159"/>
    <cellStyle name="Нейтральный 6" xfId="1160"/>
    <cellStyle name="Нейтральный 6 2" xfId="1161"/>
    <cellStyle name="Нейтральный 7" xfId="1162"/>
    <cellStyle name="Нейтральный 7 2" xfId="1163"/>
    <cellStyle name="Нейтральный 8" xfId="1164"/>
    <cellStyle name="Нейтральный 8 2" xfId="1165"/>
    <cellStyle name="Нейтральный 9" xfId="1166"/>
    <cellStyle name="Нейтральный 9 2" xfId="1167"/>
    <cellStyle name="Низ2" xfId="1168"/>
    <cellStyle name="Обычный" xfId="0" builtinId="0"/>
    <cellStyle name="Обычный 10" xfId="1169"/>
    <cellStyle name="Обычный 10 2" xfId="1170"/>
    <cellStyle name="Обычный 10 2 2" xfId="1609"/>
    <cellStyle name="Обычный 11" xfId="1171"/>
    <cellStyle name="Обычный 12" xfId="1172"/>
    <cellStyle name="Обычный 12 3" xfId="1173"/>
    <cellStyle name="Обычный 12 3 2" xfId="1174"/>
    <cellStyle name="Обычный 12 3 2 2" xfId="1637"/>
    <cellStyle name="Обычный 12 3 3" xfId="1610"/>
    <cellStyle name="Обычный 12 3 3 2" xfId="1638"/>
    <cellStyle name="Обычный 12 3 4" xfId="1636"/>
    <cellStyle name="Обычный 13" xfId="1175"/>
    <cellStyle name="Обычный 14" xfId="1443"/>
    <cellStyle name="Обычный 14 2" xfId="1611"/>
    <cellStyle name="Обычный 15" xfId="1176"/>
    <cellStyle name="Обычный 16" xfId="1444"/>
    <cellStyle name="Обычный 19" xfId="1645"/>
    <cellStyle name="Обычный 19 2" xfId="1646"/>
    <cellStyle name="Обычный 2" xfId="2"/>
    <cellStyle name="Обычный 2 10" xfId="1450"/>
    <cellStyle name="Обычный 2 2" xfId="3"/>
    <cellStyle name="Обычный 2 2 2" xfId="1177"/>
    <cellStyle name="Обычный 2 2 2 2" xfId="1178"/>
    <cellStyle name="Обычный 2 2 2 3" xfId="1179"/>
    <cellStyle name="Обычный 2 2 3" xfId="1180"/>
    <cellStyle name="Обычный 2 2 4" xfId="1452"/>
    <cellStyle name="Обычный 2 2_46EE.2011(v1.0)" xfId="1181"/>
    <cellStyle name="Обычный 2 3" xfId="1182"/>
    <cellStyle name="Обычный 2 3 2" xfId="1183"/>
    <cellStyle name="Обычный 2 3 2 2" xfId="1184"/>
    <cellStyle name="Обычный 2 3 2 2 2" xfId="1640"/>
    <cellStyle name="Обычный 2 3 2 3" xfId="1445"/>
    <cellStyle name="Обычный 2 3 3" xfId="1185"/>
    <cellStyle name="Обычный 2 3 4" xfId="1186"/>
    <cellStyle name="Обычный 2 3 4 2" xfId="1641"/>
    <cellStyle name="Обычный 2 3 5" xfId="1454"/>
    <cellStyle name="Обычный 2 3 5 2" xfId="1642"/>
    <cellStyle name="Обычный 2 3 6" xfId="1639"/>
    <cellStyle name="Обычный 2 3_46EE.2011(v1.0)" xfId="1187"/>
    <cellStyle name="Обычный 2 4" xfId="1188"/>
    <cellStyle name="Обычный 2 4 2" xfId="1189"/>
    <cellStyle name="Обычный 2 4 3" xfId="1190"/>
    <cellStyle name="Обычный 2 4_46EE.2011(v1.0)" xfId="1191"/>
    <cellStyle name="Обычный 2 5" xfId="1192"/>
    <cellStyle name="Обычный 2 5 2" xfId="1193"/>
    <cellStyle name="Обычный 2 5 3" xfId="1612"/>
    <cellStyle name="Обычный 2 5 3 2" xfId="1644"/>
    <cellStyle name="Обычный 2 5 4" xfId="1643"/>
    <cellStyle name="Обычный 2 5_46EE.2011(v1.0)" xfId="1194"/>
    <cellStyle name="Обычный 2 6" xfId="1195"/>
    <cellStyle name="Обычный 2 6 2" xfId="1196"/>
    <cellStyle name="Обычный 2 6 3" xfId="1197"/>
    <cellStyle name="Обычный 2 6_46EE.2011(v1.0)" xfId="1198"/>
    <cellStyle name="Обычный 2 7" xfId="1199"/>
    <cellStyle name="Обычный 2 7 2" xfId="1453"/>
    <cellStyle name="Обычный 2 8" xfId="1446"/>
    <cellStyle name="Обычный 2 8 2" xfId="1451"/>
    <cellStyle name="Обычный 2 9" xfId="1447"/>
    <cellStyle name="Обычный 2_1" xfId="1200"/>
    <cellStyle name="Обычный 3" xfId="1201"/>
    <cellStyle name="Обычный 3 2" xfId="1202"/>
    <cellStyle name="Обычный 3 3" xfId="1203"/>
    <cellStyle name="Обычный 4" xfId="1204"/>
    <cellStyle name="Обычный 4 2" xfId="1205"/>
    <cellStyle name="Обычный 4 3" xfId="1206"/>
    <cellStyle name="Обычный 4_EE.20.MET.SVOD.2.73_v0.1" xfId="1207"/>
    <cellStyle name="Обычный 5" xfId="1208"/>
    <cellStyle name="Обычный 5 2" xfId="1209"/>
    <cellStyle name="Обычный 6" xfId="1210"/>
    <cellStyle name="Обычный 6 2" xfId="1211"/>
    <cellStyle name="Обычный 6 3" xfId="1212"/>
    <cellStyle name="Обычный 7" xfId="1213"/>
    <cellStyle name="Обычный 7 2" xfId="1214"/>
    <cellStyle name="Обычный 8" xfId="1215"/>
    <cellStyle name="Обычный 8 2" xfId="1216"/>
    <cellStyle name="Обычный 9" xfId="1217"/>
    <cellStyle name="Обычный 9 2" xfId="1218"/>
    <cellStyle name="Обычный_Forma_1 2" xfId="1219"/>
    <cellStyle name="Обычный_JKH.OPEN.INFO.PRICE.VO_v4.0(10.02.11)" xfId="1438"/>
    <cellStyle name="Обычный_PRIL1.ELECTR" xfId="1"/>
    <cellStyle name="Обычный_Калькуляция воды" xfId="1439"/>
    <cellStyle name="Обычный_МЕТОДИКА -РЭК Томской области, 2006,  тепловая энергия" xfId="1440"/>
    <cellStyle name="Обычный_тарифы на 2002г с 1-01" xfId="1441"/>
    <cellStyle name="Плохой 2" xfId="1220"/>
    <cellStyle name="Плохой 2 2" xfId="1221"/>
    <cellStyle name="Плохой 2 2 2" xfId="1222"/>
    <cellStyle name="Плохой 3" xfId="1223"/>
    <cellStyle name="Плохой 3 2" xfId="1224"/>
    <cellStyle name="Плохой 4" xfId="1225"/>
    <cellStyle name="Плохой 4 2" xfId="1226"/>
    <cellStyle name="Плохой 5" xfId="1227"/>
    <cellStyle name="Плохой 5 2" xfId="1228"/>
    <cellStyle name="Плохой 6" xfId="1229"/>
    <cellStyle name="Плохой 6 2" xfId="1230"/>
    <cellStyle name="Плохой 6 2 2" xfId="1231"/>
    <cellStyle name="Плохой 7" xfId="1232"/>
    <cellStyle name="Плохой 7 2" xfId="1233"/>
    <cellStyle name="Плохой 8" xfId="1234"/>
    <cellStyle name="Плохой 8 2" xfId="1235"/>
    <cellStyle name="Плохой 9" xfId="1236"/>
    <cellStyle name="Плохой 9 2" xfId="1237"/>
    <cellStyle name="По центру с переносом" xfId="1238"/>
    <cellStyle name="По центру с переносом 2" xfId="1239"/>
    <cellStyle name="По ширине с переносом" xfId="1240"/>
    <cellStyle name="Поле ввода" xfId="1241"/>
    <cellStyle name="Пояснение 2" xfId="1242"/>
    <cellStyle name="Пояснение 2 2" xfId="1243"/>
    <cellStyle name="Пояснение 3" xfId="1244"/>
    <cellStyle name="Пояснение 3 2" xfId="1245"/>
    <cellStyle name="Пояснение 4" xfId="1246"/>
    <cellStyle name="Пояснение 4 2" xfId="1247"/>
    <cellStyle name="Пояснение 4 2 2" xfId="1248"/>
    <cellStyle name="Пояснение 5" xfId="1249"/>
    <cellStyle name="Пояснение 5 2" xfId="1250"/>
    <cellStyle name="Пояснение 6" xfId="1251"/>
    <cellStyle name="Пояснение 6 2" xfId="1252"/>
    <cellStyle name="Пояснение 7" xfId="1253"/>
    <cellStyle name="Пояснение 7 2" xfId="1254"/>
    <cellStyle name="Пояснение 8" xfId="1255"/>
    <cellStyle name="Пояснение 8 2" xfId="1256"/>
    <cellStyle name="Пояснение 8 2 2" xfId="1257"/>
    <cellStyle name="Пояснение 9" xfId="1258"/>
    <cellStyle name="Пояснение 9 2" xfId="1259"/>
    <cellStyle name="Примечание 10" xfId="1260"/>
    <cellStyle name="Примечание 10 2" xfId="1261"/>
    <cellStyle name="Примечание 10_46EE.2011(v1.0)" xfId="1262"/>
    <cellStyle name="Примечание 11" xfId="1263"/>
    <cellStyle name="Примечание 11 2" xfId="1264"/>
    <cellStyle name="Примечание 11 4" xfId="1265"/>
    <cellStyle name="Примечание 11_46EE.2011(v1.0)" xfId="1266"/>
    <cellStyle name="Примечание 12" xfId="1267"/>
    <cellStyle name="Примечание 12 2" xfId="1268"/>
    <cellStyle name="Примечание 12_46EE.2011(v1.0)" xfId="1269"/>
    <cellStyle name="Примечание 14" xfId="1270"/>
    <cellStyle name="Примечание 2" xfId="1271"/>
    <cellStyle name="Примечание 2 2" xfId="1272"/>
    <cellStyle name="Примечание 2 3" xfId="1273"/>
    <cellStyle name="Примечание 2 4" xfId="1274"/>
    <cellStyle name="Примечание 2 5" xfId="1275"/>
    <cellStyle name="Примечание 2 6" xfId="1276"/>
    <cellStyle name="Примечание 2 7" xfId="1277"/>
    <cellStyle name="Примечание 2 8" xfId="1278"/>
    <cellStyle name="Примечание 2_46EE.2011(v1.0)" xfId="1279"/>
    <cellStyle name="Примечание 20" xfId="1280"/>
    <cellStyle name="Примечание 28" xfId="1281"/>
    <cellStyle name="Примечание 3" xfId="1282"/>
    <cellStyle name="Примечание 3 2" xfId="1283"/>
    <cellStyle name="Примечание 3 3" xfId="1284"/>
    <cellStyle name="Примечание 3 4" xfId="1285"/>
    <cellStyle name="Примечание 3 5" xfId="1286"/>
    <cellStyle name="Примечание 3 6" xfId="1287"/>
    <cellStyle name="Примечание 3 7" xfId="1288"/>
    <cellStyle name="Примечание 3 8" xfId="1289"/>
    <cellStyle name="Примечание 3_46EE.2011(v1.0)" xfId="1290"/>
    <cellStyle name="Примечание 34" xfId="1291"/>
    <cellStyle name="Примечание 4" xfId="1292"/>
    <cellStyle name="Примечание 4 2" xfId="1293"/>
    <cellStyle name="Примечание 4 3" xfId="1294"/>
    <cellStyle name="Примечание 4 4" xfId="1295"/>
    <cellStyle name="Примечание 4 5" xfId="1296"/>
    <cellStyle name="Примечание 4 6" xfId="1297"/>
    <cellStyle name="Примечание 4 7" xfId="1298"/>
    <cellStyle name="Примечание 4 8" xfId="1299"/>
    <cellStyle name="Примечание 4_46EE.2011(v1.0)" xfId="1300"/>
    <cellStyle name="Примечание 5" xfId="1301"/>
    <cellStyle name="Примечание 5 2" xfId="1302"/>
    <cellStyle name="Примечание 5 3" xfId="1303"/>
    <cellStyle name="Примечание 5 4" xfId="1304"/>
    <cellStyle name="Примечание 5 5" xfId="1305"/>
    <cellStyle name="Примечание 5 6" xfId="1306"/>
    <cellStyle name="Примечание 5 7" xfId="1307"/>
    <cellStyle name="Примечание 5 8" xfId="1308"/>
    <cellStyle name="Примечание 5_46EE.2011(v1.0)" xfId="1309"/>
    <cellStyle name="Примечание 6" xfId="1310"/>
    <cellStyle name="Примечание 6 2" xfId="1311"/>
    <cellStyle name="Примечание 6_46EE.2011(v1.0)" xfId="1312"/>
    <cellStyle name="Примечание 7" xfId="1313"/>
    <cellStyle name="Примечание 7 2" xfId="1314"/>
    <cellStyle name="Примечание 7_46EE.2011(v1.0)" xfId="1315"/>
    <cellStyle name="Примечание 8" xfId="1316"/>
    <cellStyle name="Примечание 8 2" xfId="1317"/>
    <cellStyle name="Примечание 8_46EE.2011(v1.0)" xfId="1318"/>
    <cellStyle name="Примечание 9" xfId="1319"/>
    <cellStyle name="Примечание 9 2" xfId="1320"/>
    <cellStyle name="Примечание 9_46EE.2011(v1.0)" xfId="1321"/>
    <cellStyle name="Процентный 2" xfId="1322"/>
    <cellStyle name="Процентный 2 2" xfId="1323"/>
    <cellStyle name="Процентный 2 3" xfId="1324"/>
    <cellStyle name="Процентный 2 3 4" xfId="1325"/>
    <cellStyle name="Процентный 3" xfId="1326"/>
    <cellStyle name="Процентный 3 2" xfId="1613"/>
    <cellStyle name="Процентный 4" xfId="1327"/>
    <cellStyle name="Процентный 5" xfId="1328"/>
    <cellStyle name="Процентный 5 2" xfId="1329"/>
    <cellStyle name="Разница" xfId="1330"/>
    <cellStyle name="Результат 1" xfId="1614"/>
    <cellStyle name="Результат 2" xfId="1615"/>
    <cellStyle name="Связанная ячейка 2" xfId="1331"/>
    <cellStyle name="Связанная ячейка 2 2" xfId="1332"/>
    <cellStyle name="Связанная ячейка 2_46EE.2011(v1.0)" xfId="1333"/>
    <cellStyle name="Связанная ячейка 3" xfId="1334"/>
    <cellStyle name="Связанная ячейка 3 2" xfId="1335"/>
    <cellStyle name="Связанная ячейка 3_46EE.2011(v1.0)" xfId="1336"/>
    <cellStyle name="Связанная ячейка 4" xfId="1337"/>
    <cellStyle name="Связанная ячейка 4 2" xfId="1338"/>
    <cellStyle name="Связанная ячейка 4_46EE.2011(v1.0)" xfId="1339"/>
    <cellStyle name="Связанная ячейка 5" xfId="1340"/>
    <cellStyle name="Связанная ячейка 5 2" xfId="1341"/>
    <cellStyle name="Связанная ячейка 5_46EE.2011(v1.0)" xfId="1342"/>
    <cellStyle name="Связанная ячейка 6" xfId="1343"/>
    <cellStyle name="Связанная ячейка 6 2" xfId="1344"/>
    <cellStyle name="Связанная ячейка 6_46EE.2011(v1.0)" xfId="1345"/>
    <cellStyle name="Связанная ячейка 7" xfId="1346"/>
    <cellStyle name="Связанная ячейка 7 2" xfId="1347"/>
    <cellStyle name="Связанная ячейка 7_46EE.2011(v1.0)" xfId="1348"/>
    <cellStyle name="Связанная ячейка 8" xfId="1349"/>
    <cellStyle name="Связанная ячейка 8 2" xfId="1350"/>
    <cellStyle name="Связанная ячейка 8_46EE.2011(v1.0)" xfId="1351"/>
    <cellStyle name="Связанная ячейка 9" xfId="1352"/>
    <cellStyle name="Связанная ячейка 9 2" xfId="1353"/>
    <cellStyle name="Связанная ячейка 9_46EE.2011(v1.0)" xfId="1354"/>
    <cellStyle name="Стиль 1" xfId="1355"/>
    <cellStyle name="Стиль 1 2" xfId="1356"/>
    <cellStyle name="ТЕКСТ" xfId="1357"/>
    <cellStyle name="ТЕКСТ 2" xfId="1358"/>
    <cellStyle name="ТЕКСТ 3" xfId="1359"/>
    <cellStyle name="ТЕКСТ 4" xfId="1360"/>
    <cellStyle name="ТЕКСТ 5" xfId="1361"/>
    <cellStyle name="ТЕКСТ 6" xfId="1362"/>
    <cellStyle name="ТЕКСТ 7" xfId="1363"/>
    <cellStyle name="ТЕКСТ 8" xfId="1364"/>
    <cellStyle name="Текст предупреждения 2" xfId="1365"/>
    <cellStyle name="Текст предупреждения 2 2" xfId="1366"/>
    <cellStyle name="Текст предупреждения 2 2 2" xfId="1367"/>
    <cellStyle name="Текст предупреждения 3" xfId="1368"/>
    <cellStyle name="Текст предупреждения 3 2" xfId="1369"/>
    <cellStyle name="Текст предупреждения 4" xfId="1370"/>
    <cellStyle name="Текст предупреждения 4 2" xfId="1371"/>
    <cellStyle name="Текст предупреждения 5" xfId="1372"/>
    <cellStyle name="Текст предупреждения 5 2" xfId="1373"/>
    <cellStyle name="Текст предупреждения 6" xfId="1374"/>
    <cellStyle name="Текст предупреждения 6 2" xfId="1375"/>
    <cellStyle name="Текст предупреждения 6 2 2" xfId="1376"/>
    <cellStyle name="Текст предупреждения 7" xfId="1377"/>
    <cellStyle name="Текст предупреждения 7 2" xfId="1378"/>
    <cellStyle name="Текст предупреждения 8" xfId="1379"/>
    <cellStyle name="Текст предупреждения 8 2" xfId="1380"/>
    <cellStyle name="Текст предупреждения 9" xfId="1381"/>
    <cellStyle name="Текст предупреждения 9 2" xfId="1382"/>
    <cellStyle name="Текстовый" xfId="1383"/>
    <cellStyle name="Текстовый 2" xfId="1384"/>
    <cellStyle name="Текстовый 3" xfId="1385"/>
    <cellStyle name="Текстовый 4" xfId="1386"/>
    <cellStyle name="Текстовый 5" xfId="1387"/>
    <cellStyle name="Текстовый 6" xfId="1388"/>
    <cellStyle name="Текстовый 7" xfId="1389"/>
    <cellStyle name="Текстовый 8" xfId="1390"/>
    <cellStyle name="Текстовый 9" xfId="1391"/>
    <cellStyle name="Текстовый_1" xfId="1392"/>
    <cellStyle name="Тысячи [0]_22гк" xfId="1393"/>
    <cellStyle name="Тысячи [а]" xfId="1616"/>
    <cellStyle name="Тысячи_22гк" xfId="1394"/>
    <cellStyle name="ФИКСИРОВАННЫЙ" xfId="1395"/>
    <cellStyle name="ФИКСИРОВАННЫЙ 2" xfId="1396"/>
    <cellStyle name="ФИКСИРОВАННЫЙ 3" xfId="1397"/>
    <cellStyle name="ФИКСИРОВАННЫЙ 4" xfId="1398"/>
    <cellStyle name="ФИКСИРОВАННЫЙ 5" xfId="1399"/>
    <cellStyle name="ФИКСИРОВАННЫЙ 6" xfId="1400"/>
    <cellStyle name="ФИКСИРОВАННЫЙ 7" xfId="1401"/>
    <cellStyle name="ФИКСИРОВАННЫЙ 8" xfId="1402"/>
    <cellStyle name="ФИКСИРОВАННЫЙ_1" xfId="1403"/>
    <cellStyle name="Финансовый 2" xfId="4"/>
    <cellStyle name="Финансовый 2 2" xfId="1404"/>
    <cellStyle name="Финансовый 2_46EE.2011(v1.0)" xfId="1405"/>
    <cellStyle name="Финансовый 3" xfId="1406"/>
    <cellStyle name="Финансовый 3 3" xfId="1407"/>
    <cellStyle name="Финансовый 4" xfId="1448"/>
    <cellStyle name="Финансовый 4 2" xfId="1617"/>
    <cellStyle name="Финансовый 5" xfId="1618"/>
    <cellStyle name="Финансовый 6" xfId="1408"/>
    <cellStyle name="Формула" xfId="1409"/>
    <cellStyle name="Формула 2" xfId="1410"/>
    <cellStyle name="Формула_A РТ 2009 Рязаньэнерго" xfId="1411"/>
    <cellStyle name="ФормулаВБ" xfId="1412"/>
    <cellStyle name="ФормулаНаКонтроль" xfId="1413"/>
    <cellStyle name="Формулы" xfId="1619"/>
    <cellStyle name="Хороший 10" xfId="1414"/>
    <cellStyle name="Хороший 2" xfId="1415"/>
    <cellStyle name="Хороший 2 2" xfId="1416"/>
    <cellStyle name="Хороший 3" xfId="1417"/>
    <cellStyle name="Хороший 3 2" xfId="1418"/>
    <cellStyle name="Хороший 4" xfId="1419"/>
    <cellStyle name="Хороший 4 2" xfId="1420"/>
    <cellStyle name="Хороший 5" xfId="1421"/>
    <cellStyle name="Хороший 5 2" xfId="1422"/>
    <cellStyle name="Хороший 5 2 2" xfId="1423"/>
    <cellStyle name="Хороший 6" xfId="1424"/>
    <cellStyle name="Хороший 6 2" xfId="1425"/>
    <cellStyle name="Хороший 7" xfId="1426"/>
    <cellStyle name="Хороший 7 2" xfId="1427"/>
    <cellStyle name="Хороший 8" xfId="1428"/>
    <cellStyle name="Хороший 8 2" xfId="1429"/>
    <cellStyle name="Хороший 9" xfId="1430"/>
    <cellStyle name="Хороший 9 2" xfId="1431"/>
    <cellStyle name="Хороший 9 2 2" xfId="1432"/>
    <cellStyle name="Цифры по центру с десятыми" xfId="1433"/>
    <cellStyle name="Цифры по центру с десятыми 4" xfId="1434"/>
    <cellStyle name="Џђћ–…ќ’ќ›‰" xfId="1435"/>
    <cellStyle name="Шапка" xfId="1436"/>
    <cellStyle name="Шапка таблицы" xfId="1437"/>
    <cellStyle name="ܘ_x0008_" xfId="1620"/>
    <cellStyle name="ܘ_x0008_?䈌Ȏ㘛䤀ጛܛ_x0008_?䨐Ȏ㘛䤀ጛܛ_x0008_?䉜Ȏ㘛伀ᤛ" xfId="1621"/>
    <cellStyle name="ܘ_x0008_?䈌Ȏ㘛䤀ጛܛ_x0008_?䨐Ȏ㘛䤀ጛܛ_x0008_?䉜Ȏ㘛伀ᤛ 1" xfId="1622"/>
    <cellStyle name="ܘ_x0008_?䈌Ȏ㘛䤀ጛܛ_x0008_?䨐Ȏ㘛䤀ጛܛ_x0008_?䉜Ȏ㘛伀ᤛ 2" xfId="1623"/>
    <cellStyle name="ܘ_x0008__Анкета и Приложения 2010_ВиВ" xfId="1624"/>
    <cellStyle name="ܛ_x0008_" xfId="1625"/>
    <cellStyle name="ܛ_x0008_?䉜Ȏ㘛伀ᤛܛ_x0008_?偬Ȏ?ഀ഍č_x0001_?䊴Ȏ?ကတĐ_x0001_Ҡ" xfId="1626"/>
    <cellStyle name="ܛ_x0008_?䉜Ȏ㘛伀ᤛܛ_x0008_?偬Ȏ?ഀ഍č_x0001_?䊴Ȏ?ကတĐ_x0001_Ҡ 1" xfId="1627"/>
    <cellStyle name="ܛ_x0008_?䉜Ȏ㘛伀ᤛܛ_x0008_?偬Ȏ?ഀ഍č_x0001_?䊴Ȏ?ကတĐ_x0001_Ҡ 2" xfId="1628"/>
    <cellStyle name="ܛ_x0008_?䉜Ȏ㘛伀ᤛܛ_x0008_?偬Ȏ?ഀ഍č_x0001_?䊴Ȏ?ကတĐ_x0001_Ҡ_БДР С44о БДДС ок03" xfId="1629"/>
    <cellStyle name="ܛ_x0008__тарифы ПЭО 2010г." xfId="1630"/>
    <cellStyle name="㐀കܒ_x0008_" xfId="1631"/>
    <cellStyle name="㐀കܒ_x0008_?䆴Ȏ㘛伀ᤛܛ_x0008_?䧀Ȏ〘䤀ᤘ" xfId="1632"/>
    <cellStyle name="㐀കܒ_x0008_?䆴Ȏ㘛伀ᤛܛ_x0008_?䧀Ȏ〘䤀ᤘ 1" xfId="1633"/>
    <cellStyle name="㐀കܒ_x0008_?䆴Ȏ㘛伀ᤛܛ_x0008_?䧀Ȏ〘䤀ᤘ 2" xfId="1634"/>
    <cellStyle name="㐀കܒ_x0008_?䆴Ȏ㘛伀ᤛܛ_x0008_?䧀Ȏ〘䤀ᤘ_БДР С44о БДДС ок03" xfId="1635"/>
  </cellStyles>
  <dxfs count="0"/>
  <tableStyles count="0" defaultTableStyle="TableStyleMedium2" defaultPivotStyle="PivotStyleLight16"/>
  <colors>
    <mruColors>
      <color rgb="FFCCFFCC"/>
      <color rgb="FFFFFFCC"/>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581025</xdr:colOff>
          <xdr:row>28</xdr:row>
          <xdr:rowOff>123825</xdr:rowOff>
        </xdr:to>
        <xdr:sp macro="" textlink="">
          <xdr:nvSpPr>
            <xdr:cNvPr id="44034" name="Object 2" hidden="1">
              <a:extLst>
                <a:ext uri="{63B3BB69-23CF-44E3-9099-C40C66FF867C}">
                  <a14:compatExt spid="_x0000_s440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I1"/>
  <sheetViews>
    <sheetView workbookViewId="0">
      <selection activeCell="K22" sqref="K22"/>
    </sheetView>
  </sheetViews>
  <sheetFormatPr defaultColWidth="10.28515625" defaultRowHeight="15.75"/>
  <cols>
    <col min="1" max="9" width="10.28515625" style="345"/>
    <col min="10" max="16384" width="10.28515625" style="16"/>
  </cols>
  <sheetData/>
  <sheetProtection password="F66E"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4034" r:id="rId4">
          <objectPr defaultSize="0" r:id="rId5">
            <anchor moveWithCells="1">
              <from>
                <xdr:col>0</xdr:col>
                <xdr:colOff>0</xdr:colOff>
                <xdr:row>0</xdr:row>
                <xdr:rowOff>0</xdr:rowOff>
              </from>
              <to>
                <xdr:col>8</xdr:col>
                <xdr:colOff>581025</xdr:colOff>
                <xdr:row>28</xdr:row>
                <xdr:rowOff>123825</xdr:rowOff>
              </to>
            </anchor>
          </objectPr>
        </oleObject>
      </mc:Choice>
      <mc:Fallback>
        <oleObject progId="Word.Document.12" shapeId="44034"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50"/>
  </sheetPr>
  <dimension ref="A1:N152"/>
  <sheetViews>
    <sheetView workbookViewId="0">
      <selection sqref="A1:E1"/>
    </sheetView>
  </sheetViews>
  <sheetFormatPr defaultRowHeight="15"/>
  <cols>
    <col min="1" max="1" width="7.7109375" style="365" customWidth="1"/>
    <col min="2" max="2" width="49.5703125" style="365" customWidth="1"/>
    <col min="3" max="3" width="14.5703125" style="365" customWidth="1"/>
    <col min="4" max="4" width="37.140625" style="365" customWidth="1"/>
    <col min="5" max="5" width="43.42578125" style="365" customWidth="1"/>
    <col min="6" max="6" width="21.42578125" style="365" customWidth="1"/>
    <col min="7" max="7" width="12.42578125" style="365" customWidth="1"/>
    <col min="8" max="8" width="9.140625" style="365" customWidth="1"/>
    <col min="9" max="9" width="7.7109375" style="365" hidden="1" customWidth="1"/>
    <col min="10" max="10" width="49.5703125" style="365" hidden="1" customWidth="1"/>
    <col min="11" max="11" width="14.5703125" style="365" hidden="1" customWidth="1"/>
    <col min="12" max="12" width="37.140625" style="365" hidden="1" customWidth="1"/>
    <col min="13" max="13" width="43.42578125" style="365" hidden="1" customWidth="1"/>
    <col min="14" max="14" width="0" style="365" hidden="1" customWidth="1"/>
    <col min="15" max="16384" width="9.140625" style="365"/>
  </cols>
  <sheetData>
    <row r="1" spans="1:13" ht="46.5" customHeight="1">
      <c r="A1" s="1455" t="s">
        <v>1878</v>
      </c>
      <c r="B1" s="1455"/>
      <c r="C1" s="1455"/>
      <c r="D1" s="1455"/>
      <c r="E1" s="1455"/>
      <c r="F1" s="1188"/>
      <c r="G1" s="1189"/>
      <c r="I1" s="1455" t="s">
        <v>1878</v>
      </c>
      <c r="J1" s="1455"/>
      <c r="K1" s="1455"/>
      <c r="L1" s="1455"/>
      <c r="M1" s="1455"/>
    </row>
    <row r="2" spans="1:13" ht="40.5" customHeight="1">
      <c r="A2" s="1459" t="str">
        <f>Титульный!B10</f>
        <v xml:space="preserve"> </v>
      </c>
      <c r="B2" s="1459"/>
      <c r="C2" s="1459"/>
      <c r="D2" s="1459"/>
      <c r="E2" s="1459"/>
      <c r="F2" s="1203"/>
      <c r="G2" s="1190"/>
      <c r="I2" s="1459" t="str">
        <f>A2</f>
        <v xml:space="preserve"> </v>
      </c>
      <c r="J2" s="1459"/>
      <c r="K2" s="1459"/>
      <c r="L2" s="1459"/>
      <c r="M2" s="1459"/>
    </row>
    <row r="3" spans="1:13" ht="28.5" customHeight="1">
      <c r="A3" s="1441" t="str">
        <f>Титульный!B21</f>
        <v/>
      </c>
      <c r="B3" s="1441"/>
      <c r="C3" s="1441"/>
      <c r="D3" s="1441"/>
      <c r="E3" s="1441"/>
      <c r="F3" s="1184"/>
      <c r="G3" s="1184"/>
      <c r="I3" s="1441" t="str">
        <f>A3</f>
        <v/>
      </c>
      <c r="J3" s="1441"/>
      <c r="K3" s="1441"/>
      <c r="L3" s="1441"/>
      <c r="M3" s="1441"/>
    </row>
    <row r="4" spans="1:13">
      <c r="A4" s="371"/>
      <c r="B4" s="372"/>
      <c r="C4" s="372"/>
      <c r="D4" s="372"/>
      <c r="E4" s="372"/>
      <c r="I4" s="371"/>
      <c r="J4" s="372"/>
      <c r="K4" s="372"/>
      <c r="L4" s="372"/>
      <c r="M4" s="372"/>
    </row>
    <row r="5" spans="1:13">
      <c r="A5" s="371" t="s">
        <v>199</v>
      </c>
      <c r="B5" s="373">
        <f>Титульный!B6</f>
        <v>0</v>
      </c>
      <c r="C5" s="372"/>
      <c r="D5" s="371" t="s">
        <v>200</v>
      </c>
      <c r="E5" s="373">
        <f>Титульный!B7</f>
        <v>0</v>
      </c>
      <c r="I5" s="371" t="s">
        <v>199</v>
      </c>
      <c r="J5" s="872">
        <f>B5</f>
        <v>0</v>
      </c>
      <c r="K5" s="372"/>
      <c r="L5" s="371" t="s">
        <v>200</v>
      </c>
      <c r="M5" s="373">
        <f>E5</f>
        <v>0</v>
      </c>
    </row>
    <row r="6" spans="1:13">
      <c r="A6" s="371"/>
      <c r="B6" s="373"/>
      <c r="C6" s="372"/>
      <c r="D6" s="372"/>
      <c r="E6" s="371"/>
      <c r="I6" s="371"/>
      <c r="J6" s="373"/>
      <c r="K6" s="372"/>
      <c r="L6" s="372"/>
      <c r="M6" s="371"/>
    </row>
    <row r="7" spans="1:13">
      <c r="A7" s="371" t="s">
        <v>1808</v>
      </c>
      <c r="B7" s="373"/>
      <c r="C7" s="372"/>
      <c r="D7" s="372"/>
      <c r="E7" s="371"/>
      <c r="I7" s="371" t="s">
        <v>1808</v>
      </c>
      <c r="J7" s="373"/>
      <c r="K7" s="372"/>
      <c r="L7" s="372"/>
      <c r="M7" s="371"/>
    </row>
    <row r="8" spans="1:13" s="773" customFormat="1" ht="34.5" customHeight="1">
      <c r="A8" s="774" t="s">
        <v>183</v>
      </c>
      <c r="B8" s="775" t="s">
        <v>218</v>
      </c>
      <c r="C8" s="1105" t="s">
        <v>413</v>
      </c>
      <c r="D8" s="1106" t="s">
        <v>1140</v>
      </c>
      <c r="E8" s="1107" t="s">
        <v>459</v>
      </c>
      <c r="I8" s="774" t="s">
        <v>183</v>
      </c>
      <c r="J8" s="775" t="s">
        <v>218</v>
      </c>
      <c r="K8" s="1105" t="s">
        <v>413</v>
      </c>
      <c r="L8" s="1106" t="s">
        <v>1140</v>
      </c>
      <c r="M8" s="1107" t="s">
        <v>459</v>
      </c>
    </row>
    <row r="9" spans="1:13" s="773" customFormat="1" ht="21.75" customHeight="1">
      <c r="A9" s="784" t="s">
        <v>222</v>
      </c>
      <c r="B9" s="781" t="s">
        <v>1818</v>
      </c>
      <c r="C9" s="579" t="s">
        <v>457</v>
      </c>
      <c r="D9" s="782">
        <f>D13+D11-D10-D12</f>
        <v>0</v>
      </c>
      <c r="E9" s="779"/>
      <c r="I9" s="784" t="s">
        <v>222</v>
      </c>
      <c r="J9" s="781" t="s">
        <v>1818</v>
      </c>
      <c r="K9" s="579" t="s">
        <v>457</v>
      </c>
      <c r="L9" s="782">
        <f>L13+L11-L10-L12</f>
        <v>0</v>
      </c>
      <c r="M9" s="779"/>
    </row>
    <row r="10" spans="1:13" s="773" customFormat="1" ht="31.5">
      <c r="A10" s="784" t="s">
        <v>228</v>
      </c>
      <c r="B10" s="781" t="s">
        <v>185</v>
      </c>
      <c r="C10" s="579" t="s">
        <v>457</v>
      </c>
      <c r="D10" s="1064"/>
      <c r="E10" s="1456" t="s">
        <v>1825</v>
      </c>
      <c r="I10" s="784" t="s">
        <v>228</v>
      </c>
      <c r="J10" s="781" t="s">
        <v>185</v>
      </c>
      <c r="K10" s="579" t="s">
        <v>457</v>
      </c>
      <c r="L10" s="1193"/>
      <c r="M10" s="1462" t="s">
        <v>1844</v>
      </c>
    </row>
    <row r="11" spans="1:13" s="773" customFormat="1" ht="39" customHeight="1">
      <c r="A11" s="784" t="s">
        <v>230</v>
      </c>
      <c r="B11" s="781" t="s">
        <v>1817</v>
      </c>
      <c r="C11" s="579" t="s">
        <v>457</v>
      </c>
      <c r="D11" s="1064"/>
      <c r="E11" s="1457"/>
      <c r="I11" s="784" t="s">
        <v>230</v>
      </c>
      <c r="J11" s="781" t="s">
        <v>1817</v>
      </c>
      <c r="K11" s="579" t="s">
        <v>457</v>
      </c>
      <c r="L11" s="1193"/>
      <c r="M11" s="1463"/>
    </row>
    <row r="12" spans="1:13" s="773" customFormat="1" ht="32.25" customHeight="1">
      <c r="A12" s="784" t="s">
        <v>238</v>
      </c>
      <c r="B12" s="781" t="s">
        <v>239</v>
      </c>
      <c r="C12" s="579" t="s">
        <v>457</v>
      </c>
      <c r="D12" s="1064"/>
      <c r="E12" s="1458"/>
      <c r="I12" s="784" t="s">
        <v>238</v>
      </c>
      <c r="J12" s="781" t="s">
        <v>239</v>
      </c>
      <c r="K12" s="579" t="s">
        <v>457</v>
      </c>
      <c r="L12" s="1193"/>
      <c r="M12" s="1464"/>
    </row>
    <row r="13" spans="1:13" s="773" customFormat="1" ht="17.25" customHeight="1">
      <c r="A13" s="1076" t="s">
        <v>241</v>
      </c>
      <c r="B13" s="781" t="s">
        <v>242</v>
      </c>
      <c r="C13" s="579" t="s">
        <v>457</v>
      </c>
      <c r="D13" s="435">
        <f>D14+D16</f>
        <v>0</v>
      </c>
      <c r="E13" s="793"/>
      <c r="I13" s="1076" t="s">
        <v>241</v>
      </c>
      <c r="J13" s="781" t="s">
        <v>242</v>
      </c>
      <c r="K13" s="579" t="s">
        <v>457</v>
      </c>
      <c r="L13" s="782">
        <f>L14+L16</f>
        <v>0</v>
      </c>
      <c r="M13" s="779"/>
    </row>
    <row r="14" spans="1:13" s="773" customFormat="1" ht="15.75">
      <c r="A14" s="1076" t="s">
        <v>243</v>
      </c>
      <c r="B14" s="781" t="s">
        <v>244</v>
      </c>
      <c r="C14" s="579" t="s">
        <v>457</v>
      </c>
      <c r="D14" s="782">
        <f>IF(D15=0,0,D16/(1-D15/100)-D16)</f>
        <v>0</v>
      </c>
      <c r="E14" s="793"/>
      <c r="I14" s="1076" t="s">
        <v>243</v>
      </c>
      <c r="J14" s="781" t="s">
        <v>244</v>
      </c>
      <c r="K14" s="579" t="s">
        <v>457</v>
      </c>
      <c r="L14" s="782">
        <f>IF(L15=0,0,L16/(1-L15/100)-L16)</f>
        <v>0</v>
      </c>
      <c r="M14" s="779"/>
    </row>
    <row r="15" spans="1:13" s="773" customFormat="1" ht="54" customHeight="1">
      <c r="A15" s="784" t="s">
        <v>406</v>
      </c>
      <c r="B15" s="781" t="s">
        <v>245</v>
      </c>
      <c r="C15" s="579" t="s">
        <v>246</v>
      </c>
      <c r="D15" s="782">
        <f>'данные об организации'!G31</f>
        <v>0</v>
      </c>
      <c r="E15" s="396" t="s">
        <v>1623</v>
      </c>
      <c r="I15" s="784" t="s">
        <v>406</v>
      </c>
      <c r="J15" s="781" t="s">
        <v>245</v>
      </c>
      <c r="K15" s="579" t="s">
        <v>246</v>
      </c>
      <c r="L15" s="782">
        <f>'ПП 2016-2018'!F42</f>
        <v>0</v>
      </c>
      <c r="M15" s="396" t="s">
        <v>1623</v>
      </c>
    </row>
    <row r="16" spans="1:13" s="773" customFormat="1" ht="43.5" customHeight="1">
      <c r="A16" s="1076" t="s">
        <v>247</v>
      </c>
      <c r="B16" s="781" t="s">
        <v>1809</v>
      </c>
      <c r="C16" s="579" t="s">
        <v>457</v>
      </c>
      <c r="D16" s="782">
        <f>'баланс ВСН'!I16</f>
        <v>0</v>
      </c>
      <c r="E16" s="794" t="s">
        <v>1825</v>
      </c>
      <c r="I16" s="1076" t="s">
        <v>247</v>
      </c>
      <c r="J16" s="781" t="s">
        <v>1809</v>
      </c>
      <c r="K16" s="579" t="s">
        <v>457</v>
      </c>
      <c r="L16" s="782">
        <f>'баланс ВСН'!X16</f>
        <v>0</v>
      </c>
      <c r="M16" s="792" t="s">
        <v>1843</v>
      </c>
    </row>
    <row r="17" spans="1:13">
      <c r="A17" s="366"/>
      <c r="B17" s="1191"/>
      <c r="E17" s="366"/>
      <c r="I17" s="366"/>
      <c r="J17" s="1191"/>
      <c r="M17" s="366"/>
    </row>
    <row r="18" spans="1:13">
      <c r="A18" s="366"/>
      <c r="B18" s="1191"/>
      <c r="E18" s="366"/>
      <c r="I18" s="366"/>
      <c r="J18" s="1191"/>
      <c r="M18" s="366"/>
    </row>
    <row r="19" spans="1:13">
      <c r="A19" s="371" t="s">
        <v>1823</v>
      </c>
      <c r="B19" s="373"/>
      <c r="C19" s="373"/>
      <c r="D19" s="372"/>
      <c r="I19" s="371" t="s">
        <v>1823</v>
      </c>
      <c r="J19" s="373"/>
      <c r="K19" s="373"/>
      <c r="L19" s="372"/>
    </row>
    <row r="20" spans="1:13" ht="40.5" customHeight="1">
      <c r="A20" s="1085" t="s">
        <v>183</v>
      </c>
      <c r="B20" s="1204" t="s">
        <v>308</v>
      </c>
      <c r="C20" s="1105" t="s">
        <v>413</v>
      </c>
      <c r="D20" s="1105" t="s">
        <v>1140</v>
      </c>
      <c r="E20" s="1205"/>
      <c r="I20" s="604" t="s">
        <v>183</v>
      </c>
      <c r="J20" s="780" t="s">
        <v>308</v>
      </c>
      <c r="K20" s="1114" t="s">
        <v>413</v>
      </c>
      <c r="L20" s="1114" t="s">
        <v>1140</v>
      </c>
      <c r="M20" s="772"/>
    </row>
    <row r="21" spans="1:13" ht="50.25" customHeight="1">
      <c r="A21" s="374" t="s">
        <v>222</v>
      </c>
      <c r="B21" s="762" t="s">
        <v>613</v>
      </c>
      <c r="C21" s="374" t="s">
        <v>420</v>
      </c>
      <c r="D21" s="376">
        <f>'данные об организации'!G28*1000</f>
        <v>0</v>
      </c>
      <c r="E21" s="1453" t="s">
        <v>1828</v>
      </c>
      <c r="I21" s="374" t="s">
        <v>222</v>
      </c>
      <c r="J21" s="762" t="s">
        <v>613</v>
      </c>
      <c r="K21" s="374" t="s">
        <v>420</v>
      </c>
      <c r="L21" s="376">
        <f>'НВВ базовый расчет'!D10</f>
        <v>0</v>
      </c>
      <c r="M21" s="1453" t="s">
        <v>1828</v>
      </c>
    </row>
    <row r="22" spans="1:13" ht="15.75" customHeight="1">
      <c r="A22" s="377" t="s">
        <v>228</v>
      </c>
      <c r="B22" s="762" t="s">
        <v>638</v>
      </c>
      <c r="C22" s="374" t="s">
        <v>246</v>
      </c>
      <c r="D22" s="381"/>
      <c r="E22" s="1454"/>
      <c r="I22" s="377" t="s">
        <v>228</v>
      </c>
      <c r="J22" s="762" t="s">
        <v>638</v>
      </c>
      <c r="K22" s="374" t="s">
        <v>246</v>
      </c>
      <c r="L22" s="381"/>
      <c r="M22" s="1454"/>
    </row>
    <row r="23" spans="1:13" ht="15.75">
      <c r="A23" s="377" t="s">
        <v>230</v>
      </c>
      <c r="B23" s="762" t="s">
        <v>1807</v>
      </c>
      <c r="C23" s="374" t="s">
        <v>310</v>
      </c>
      <c r="D23" s="381"/>
      <c r="E23" s="1094"/>
      <c r="I23" s="377" t="s">
        <v>230</v>
      </c>
      <c r="J23" s="762" t="s">
        <v>1807</v>
      </c>
      <c r="K23" s="374" t="s">
        <v>310</v>
      </c>
      <c r="L23" s="381"/>
      <c r="M23" s="1094"/>
    </row>
    <row r="24" spans="1:13" ht="15.75">
      <c r="A24" s="377" t="s">
        <v>238</v>
      </c>
      <c r="B24" s="762" t="s">
        <v>640</v>
      </c>
      <c r="C24" s="374" t="s">
        <v>246</v>
      </c>
      <c r="D24" s="653">
        <f>IF(D21=0,0,0.75*D26/100*D25/100+D27/D21)</f>
        <v>0</v>
      </c>
      <c r="E24" s="367"/>
      <c r="H24" s="382"/>
      <c r="I24" s="377" t="s">
        <v>238</v>
      </c>
      <c r="J24" s="762" t="s">
        <v>640</v>
      </c>
      <c r="K24" s="374" t="s">
        <v>246</v>
      </c>
      <c r="L24" s="653">
        <f>IF(L21=0,0,0.75*L26/100*L25/100+L27/L21)</f>
        <v>0</v>
      </c>
      <c r="M24" s="367"/>
    </row>
    <row r="25" spans="1:13" ht="15.75" customHeight="1">
      <c r="A25" s="175" t="s">
        <v>213</v>
      </c>
      <c r="B25" s="762" t="s">
        <v>935</v>
      </c>
      <c r="C25" s="374" t="s">
        <v>246</v>
      </c>
      <c r="D25" s="374">
        <f>'расчет у.е.'!G11</f>
        <v>0</v>
      </c>
      <c r="E25" s="367"/>
      <c r="I25" s="175" t="s">
        <v>213</v>
      </c>
      <c r="J25" s="762" t="s">
        <v>935</v>
      </c>
      <c r="K25" s="374" t="s">
        <v>246</v>
      </c>
      <c r="L25" s="374">
        <f>'расчет у.е.'!Q11</f>
        <v>0</v>
      </c>
      <c r="M25" s="367"/>
    </row>
    <row r="26" spans="1:13" ht="78.75">
      <c r="A26" s="175" t="s">
        <v>214</v>
      </c>
      <c r="B26" s="762" t="s">
        <v>937</v>
      </c>
      <c r="C26" s="374" t="s">
        <v>246</v>
      </c>
      <c r="D26" s="368"/>
      <c r="E26" s="1094" t="s">
        <v>938</v>
      </c>
      <c r="I26" s="175" t="s">
        <v>214</v>
      </c>
      <c r="J26" s="762" t="s">
        <v>937</v>
      </c>
      <c r="K26" s="374" t="s">
        <v>246</v>
      </c>
      <c r="L26" s="368"/>
      <c r="M26" s="1094"/>
    </row>
    <row r="27" spans="1:13" ht="58.5" customHeight="1">
      <c r="A27" s="175" t="s">
        <v>215</v>
      </c>
      <c r="B27" s="762" t="s">
        <v>939</v>
      </c>
      <c r="C27" s="374" t="s">
        <v>420</v>
      </c>
      <c r="D27" s="368"/>
      <c r="E27" s="1094" t="s">
        <v>938</v>
      </c>
      <c r="I27" s="175" t="s">
        <v>215</v>
      </c>
      <c r="J27" s="762" t="s">
        <v>939</v>
      </c>
      <c r="K27" s="374" t="s">
        <v>420</v>
      </c>
      <c r="L27" s="368"/>
      <c r="M27" s="1094"/>
    </row>
    <row r="28" spans="1:13" ht="33.75" customHeight="1">
      <c r="A28" s="378" t="s">
        <v>650</v>
      </c>
      <c r="B28" s="783" t="s">
        <v>612</v>
      </c>
      <c r="C28" s="378" t="s">
        <v>420</v>
      </c>
      <c r="D28" s="787">
        <f>D21*(1+D24)</f>
        <v>0</v>
      </c>
      <c r="E28" s="789"/>
      <c r="I28" s="378" t="s">
        <v>650</v>
      </c>
      <c r="J28" s="783" t="s">
        <v>612</v>
      </c>
      <c r="K28" s="378" t="s">
        <v>420</v>
      </c>
      <c r="L28" s="787">
        <f>L21*(1+L24)</f>
        <v>0</v>
      </c>
      <c r="M28" s="1186"/>
    </row>
    <row r="31" spans="1:13">
      <c r="A31" s="371" t="s">
        <v>1822</v>
      </c>
      <c r="B31" s="372"/>
      <c r="C31" s="372"/>
      <c r="D31" s="372"/>
      <c r="I31" s="371" t="s">
        <v>1822</v>
      </c>
      <c r="J31" s="372"/>
      <c r="K31" s="372"/>
      <c r="L31" s="372"/>
    </row>
    <row r="32" spans="1:13" ht="15.75">
      <c r="A32" s="1449" t="s">
        <v>183</v>
      </c>
      <c r="B32" s="1451" t="s">
        <v>308</v>
      </c>
      <c r="C32" s="1451" t="s">
        <v>413</v>
      </c>
      <c r="D32" s="1098" t="s">
        <v>1140</v>
      </c>
      <c r="E32" s="1451" t="s">
        <v>459</v>
      </c>
      <c r="I32" s="1449" t="s">
        <v>183</v>
      </c>
      <c r="J32" s="1451" t="s">
        <v>308</v>
      </c>
      <c r="K32" s="1451" t="s">
        <v>413</v>
      </c>
      <c r="L32" s="1098" t="s">
        <v>1140</v>
      </c>
      <c r="M32" s="1451" t="s">
        <v>459</v>
      </c>
    </row>
    <row r="33" spans="1:13" ht="15.75">
      <c r="A33" s="1450"/>
      <c r="B33" s="1452"/>
      <c r="C33" s="1452"/>
      <c r="D33" s="1098" t="s">
        <v>309</v>
      </c>
      <c r="E33" s="1452"/>
      <c r="I33" s="1450"/>
      <c r="J33" s="1452"/>
      <c r="K33" s="1452"/>
      <c r="L33" s="1098" t="s">
        <v>309</v>
      </c>
      <c r="M33" s="1452"/>
    </row>
    <row r="34" spans="1:13" ht="63" customHeight="1">
      <c r="A34" s="71" t="s">
        <v>190</v>
      </c>
      <c r="B34" s="611" t="s">
        <v>454</v>
      </c>
      <c r="C34" s="55" t="s">
        <v>458</v>
      </c>
      <c r="D34" s="855">
        <f>'данные об организации'!G32</f>
        <v>0</v>
      </c>
      <c r="E34" s="1094" t="s">
        <v>1623</v>
      </c>
      <c r="I34" s="71" t="s">
        <v>190</v>
      </c>
      <c r="J34" s="611" t="s">
        <v>454</v>
      </c>
      <c r="K34" s="55" t="s">
        <v>458</v>
      </c>
      <c r="L34" s="855">
        <f>'ПП 2016-2018'!F43</f>
        <v>0</v>
      </c>
      <c r="M34" s="1094" t="s">
        <v>1623</v>
      </c>
    </row>
    <row r="35" spans="1:13" ht="15.75">
      <c r="A35" s="71" t="s">
        <v>191</v>
      </c>
      <c r="B35" s="611" t="s">
        <v>456</v>
      </c>
      <c r="C35" s="55" t="s">
        <v>457</v>
      </c>
      <c r="D35" s="855">
        <f>D13</f>
        <v>0</v>
      </c>
      <c r="E35" s="1094"/>
      <c r="I35" s="71" t="s">
        <v>191</v>
      </c>
      <c r="J35" s="611" t="s">
        <v>456</v>
      </c>
      <c r="K35" s="55" t="s">
        <v>457</v>
      </c>
      <c r="L35" s="855">
        <f>L13</f>
        <v>0</v>
      </c>
      <c r="M35" s="1094"/>
    </row>
    <row r="36" spans="1:13" ht="15.75">
      <c r="A36" s="71" t="s">
        <v>192</v>
      </c>
      <c r="B36" s="611" t="s">
        <v>460</v>
      </c>
      <c r="C36" s="55" t="s">
        <v>462</v>
      </c>
      <c r="D36" s="855">
        <f>D34*D35</f>
        <v>0</v>
      </c>
      <c r="E36" s="849"/>
      <c r="I36" s="71" t="s">
        <v>192</v>
      </c>
      <c r="J36" s="611" t="s">
        <v>460</v>
      </c>
      <c r="K36" s="55" t="s">
        <v>462</v>
      </c>
      <c r="L36" s="855">
        <f>L34*L35</f>
        <v>0</v>
      </c>
      <c r="M36" s="1093"/>
    </row>
    <row r="37" spans="1:13" ht="63" customHeight="1">
      <c r="A37" s="71" t="s">
        <v>193</v>
      </c>
      <c r="B37" s="611" t="s">
        <v>455</v>
      </c>
      <c r="C37" s="579" t="s">
        <v>458</v>
      </c>
      <c r="D37" s="855">
        <f>'данные об организации'!G33</f>
        <v>0</v>
      </c>
      <c r="E37" s="848" t="s">
        <v>1623</v>
      </c>
      <c r="I37" s="71" t="s">
        <v>193</v>
      </c>
      <c r="J37" s="611" t="s">
        <v>455</v>
      </c>
      <c r="K37" s="579" t="s">
        <v>458</v>
      </c>
      <c r="L37" s="855">
        <f>'ПП 2016-2018'!F44</f>
        <v>0</v>
      </c>
      <c r="M37" s="785" t="s">
        <v>1623</v>
      </c>
    </row>
    <row r="38" spans="1:13" ht="15.75">
      <c r="A38" s="71" t="s">
        <v>194</v>
      </c>
      <c r="B38" s="611" t="s">
        <v>186</v>
      </c>
      <c r="C38" s="579" t="s">
        <v>457</v>
      </c>
      <c r="D38" s="855">
        <f>D16</f>
        <v>0</v>
      </c>
      <c r="E38" s="848"/>
      <c r="I38" s="71" t="s">
        <v>194</v>
      </c>
      <c r="J38" s="611" t="s">
        <v>186</v>
      </c>
      <c r="K38" s="579" t="s">
        <v>457</v>
      </c>
      <c r="L38" s="855">
        <f>L16</f>
        <v>0</v>
      </c>
      <c r="M38" s="785"/>
    </row>
    <row r="39" spans="1:13" ht="31.5">
      <c r="A39" s="71" t="s">
        <v>195</v>
      </c>
      <c r="B39" s="611" t="s">
        <v>461</v>
      </c>
      <c r="C39" s="579" t="s">
        <v>462</v>
      </c>
      <c r="D39" s="855">
        <f>D37*D38</f>
        <v>0</v>
      </c>
      <c r="E39" s="849"/>
      <c r="I39" s="71" t="s">
        <v>195</v>
      </c>
      <c r="J39" s="611" t="s">
        <v>461</v>
      </c>
      <c r="K39" s="579" t="s">
        <v>462</v>
      </c>
      <c r="L39" s="855">
        <f>L37*L38</f>
        <v>0</v>
      </c>
      <c r="M39" s="849"/>
    </row>
    <row r="40" spans="1:13" ht="15.75">
      <c r="A40" s="1098">
        <v>3</v>
      </c>
      <c r="B40" s="332" t="s">
        <v>1819</v>
      </c>
      <c r="C40" s="605" t="s">
        <v>462</v>
      </c>
      <c r="D40" s="854">
        <f>D36+D39</f>
        <v>0</v>
      </c>
      <c r="E40" s="849"/>
      <c r="I40" s="1098">
        <v>3</v>
      </c>
      <c r="J40" s="332" t="s">
        <v>1819</v>
      </c>
      <c r="K40" s="605" t="s">
        <v>462</v>
      </c>
      <c r="L40" s="854">
        <f>L36+L39</f>
        <v>0</v>
      </c>
      <c r="M40" s="849"/>
    </row>
    <row r="41" spans="1:13" ht="31.5">
      <c r="A41" s="55">
        <v>4</v>
      </c>
      <c r="B41" s="611" t="s">
        <v>1820</v>
      </c>
      <c r="C41" s="579" t="s">
        <v>439</v>
      </c>
      <c r="D41" s="855">
        <f>IF((РЭ!D29+РЭ!D45)=0,,РЭ!D26/(РЭ!D29+РЭ!D45))</f>
        <v>0</v>
      </c>
      <c r="E41" s="848" t="s">
        <v>1821</v>
      </c>
      <c r="I41" s="55">
        <v>4</v>
      </c>
      <c r="J41" s="611" t="s">
        <v>1820</v>
      </c>
      <c r="K41" s="579" t="s">
        <v>439</v>
      </c>
      <c r="L41" s="109">
        <f>IF((РЭ!D29+РЭ!D45)=0,,РЭ!D26/(РЭ!D29+РЭ!D45))</f>
        <v>0</v>
      </c>
      <c r="M41" s="785" t="s">
        <v>1821</v>
      </c>
    </row>
    <row r="42" spans="1:13" s="366" customFormat="1" ht="15.75">
      <c r="A42" s="786" t="s">
        <v>651</v>
      </c>
      <c r="B42" s="332" t="s">
        <v>954</v>
      </c>
      <c r="C42" s="1098" t="s">
        <v>420</v>
      </c>
      <c r="D42" s="854">
        <f>D40*D41</f>
        <v>0</v>
      </c>
      <c r="E42" s="790"/>
      <c r="I42" s="786" t="s">
        <v>651</v>
      </c>
      <c r="J42" s="332" t="s">
        <v>954</v>
      </c>
      <c r="K42" s="1098" t="s">
        <v>420</v>
      </c>
      <c r="L42" s="854">
        <f>L40*L41</f>
        <v>0</v>
      </c>
      <c r="M42" s="1206"/>
    </row>
    <row r="45" spans="1:13">
      <c r="A45" s="371" t="s">
        <v>1824</v>
      </c>
      <c r="B45" s="372"/>
      <c r="C45" s="372"/>
      <c r="D45" s="372"/>
      <c r="I45" s="371" t="s">
        <v>1824</v>
      </c>
      <c r="J45" s="372"/>
      <c r="K45" s="372"/>
      <c r="L45" s="372"/>
      <c r="M45" s="372"/>
    </row>
    <row r="46" spans="1:13" ht="15.75">
      <c r="A46" s="1449" t="s">
        <v>183</v>
      </c>
      <c r="B46" s="1451" t="s">
        <v>308</v>
      </c>
      <c r="C46" s="1451" t="s">
        <v>413</v>
      </c>
      <c r="D46" s="1098" t="s">
        <v>1140</v>
      </c>
      <c r="E46" s="1451" t="s">
        <v>459</v>
      </c>
      <c r="I46" s="796" t="s">
        <v>183</v>
      </c>
      <c r="J46" s="808" t="s">
        <v>308</v>
      </c>
      <c r="K46" s="808" t="s">
        <v>413</v>
      </c>
      <c r="L46" s="1098" t="s">
        <v>1140</v>
      </c>
      <c r="M46" s="808" t="s">
        <v>459</v>
      </c>
    </row>
    <row r="47" spans="1:13" ht="15.75">
      <c r="A47" s="1450"/>
      <c r="B47" s="1452"/>
      <c r="C47" s="1452"/>
      <c r="D47" s="1098" t="s">
        <v>309</v>
      </c>
      <c r="E47" s="1452"/>
      <c r="I47" s="807"/>
      <c r="J47" s="806"/>
      <c r="K47" s="806"/>
      <c r="L47" s="1098" t="s">
        <v>309</v>
      </c>
      <c r="M47" s="806"/>
    </row>
    <row r="48" spans="1:13" ht="31.5" customHeight="1">
      <c r="A48" s="428" t="s">
        <v>387</v>
      </c>
      <c r="B48" s="379" t="s">
        <v>652</v>
      </c>
      <c r="C48" s="579" t="s">
        <v>420</v>
      </c>
      <c r="D48" s="854">
        <f>D49+D50+D51+D52+D53</f>
        <v>0</v>
      </c>
      <c r="E48" s="1453" t="s">
        <v>1825</v>
      </c>
      <c r="I48" s="428" t="s">
        <v>387</v>
      </c>
      <c r="J48" s="379" t="s">
        <v>652</v>
      </c>
      <c r="K48" s="579" t="s">
        <v>420</v>
      </c>
      <c r="L48" s="854">
        <f>L49+L50+L51+L52+L53</f>
        <v>0</v>
      </c>
      <c r="M48" s="1461" t="s">
        <v>1988</v>
      </c>
    </row>
    <row r="49" spans="1:13" ht="15.75">
      <c r="A49" s="377" t="s">
        <v>224</v>
      </c>
      <c r="B49" s="375" t="s">
        <v>653</v>
      </c>
      <c r="C49" s="579" t="s">
        <v>420</v>
      </c>
      <c r="D49" s="226"/>
      <c r="E49" s="1460"/>
      <c r="I49" s="377" t="s">
        <v>224</v>
      </c>
      <c r="J49" s="375" t="s">
        <v>653</v>
      </c>
      <c r="K49" s="579" t="s">
        <v>420</v>
      </c>
      <c r="L49" s="855">
        <f>'смета факт 16'!D21</f>
        <v>0</v>
      </c>
      <c r="M49" s="1460"/>
    </row>
    <row r="50" spans="1:13" ht="15.75">
      <c r="A50" s="377" t="s">
        <v>191</v>
      </c>
      <c r="B50" s="375" t="s">
        <v>654</v>
      </c>
      <c r="C50" s="579" t="s">
        <v>420</v>
      </c>
      <c r="D50" s="226"/>
      <c r="E50" s="1460"/>
      <c r="I50" s="377" t="s">
        <v>191</v>
      </c>
      <c r="J50" s="375" t="s">
        <v>654</v>
      </c>
      <c r="K50" s="579" t="s">
        <v>420</v>
      </c>
      <c r="L50" s="855">
        <f>MIN('смета факт 16'!D25,L137)</f>
        <v>0</v>
      </c>
      <c r="M50" s="1460"/>
    </row>
    <row r="51" spans="1:13" ht="31.5">
      <c r="A51" s="377" t="s">
        <v>192</v>
      </c>
      <c r="B51" s="375" t="s">
        <v>697</v>
      </c>
      <c r="C51" s="579" t="s">
        <v>420</v>
      </c>
      <c r="D51" s="226"/>
      <c r="E51" s="1460"/>
      <c r="I51" s="377" t="s">
        <v>192</v>
      </c>
      <c r="J51" s="375" t="s">
        <v>697</v>
      </c>
      <c r="K51" s="579" t="s">
        <v>420</v>
      </c>
      <c r="L51" s="855">
        <f>'смета факт 16'!D31+'смета факт 16'!D32</f>
        <v>0</v>
      </c>
      <c r="M51" s="1460"/>
    </row>
    <row r="52" spans="1:13" ht="15.75">
      <c r="A52" s="377" t="s">
        <v>201</v>
      </c>
      <c r="B52" s="375" t="s">
        <v>658</v>
      </c>
      <c r="C52" s="579" t="s">
        <v>420</v>
      </c>
      <c r="D52" s="226"/>
      <c r="E52" s="1460"/>
      <c r="I52" s="377" t="s">
        <v>201</v>
      </c>
      <c r="J52" s="375" t="s">
        <v>658</v>
      </c>
      <c r="K52" s="579" t="s">
        <v>420</v>
      </c>
      <c r="L52" s="855">
        <f>'смета факт 16'!D33</f>
        <v>0</v>
      </c>
      <c r="M52" s="1460"/>
    </row>
    <row r="53" spans="1:13" ht="15.75">
      <c r="A53" s="377" t="s">
        <v>202</v>
      </c>
      <c r="B53" s="375" t="s">
        <v>660</v>
      </c>
      <c r="C53" s="579" t="s">
        <v>420</v>
      </c>
      <c r="D53" s="226"/>
      <c r="E53" s="1460"/>
      <c r="I53" s="377" t="s">
        <v>202</v>
      </c>
      <c r="J53" s="375" t="s">
        <v>660</v>
      </c>
      <c r="K53" s="579" t="s">
        <v>420</v>
      </c>
      <c r="L53" s="855">
        <f>'смета факт 16'!D22+'смета факт 16'!D23+'смета факт 16'!D24</f>
        <v>0</v>
      </c>
      <c r="M53" s="1460"/>
    </row>
    <row r="54" spans="1:13" ht="15.75">
      <c r="A54" s="428" t="s">
        <v>311</v>
      </c>
      <c r="B54" s="379" t="s">
        <v>507</v>
      </c>
      <c r="C54" s="579" t="s">
        <v>420</v>
      </c>
      <c r="D54" s="854">
        <f>D55+D56+D57+D58+D59+D60+D61</f>
        <v>0</v>
      </c>
      <c r="E54" s="1460"/>
      <c r="I54" s="428" t="s">
        <v>311</v>
      </c>
      <c r="J54" s="379" t="s">
        <v>507</v>
      </c>
      <c r="K54" s="579" t="s">
        <v>420</v>
      </c>
      <c r="L54" s="854">
        <f>L55+L56+L57+L58+L59+L60+L61</f>
        <v>0</v>
      </c>
      <c r="M54" s="1460"/>
    </row>
    <row r="55" spans="1:13" ht="31.5">
      <c r="A55" s="377" t="s">
        <v>193</v>
      </c>
      <c r="B55" s="375" t="s">
        <v>661</v>
      </c>
      <c r="C55" s="579" t="s">
        <v>420</v>
      </c>
      <c r="D55" s="226"/>
      <c r="E55" s="1460"/>
      <c r="I55" s="377" t="s">
        <v>193</v>
      </c>
      <c r="J55" s="375" t="s">
        <v>661</v>
      </c>
      <c r="K55" s="579" t="s">
        <v>420</v>
      </c>
      <c r="L55" s="855">
        <f>MIN('смета факт 16'!D179+'смета факт 16'!D180,L151+L152)</f>
        <v>0</v>
      </c>
      <c r="M55" s="1460"/>
    </row>
    <row r="56" spans="1:13" ht="15.75">
      <c r="A56" s="377" t="s">
        <v>194</v>
      </c>
      <c r="B56" s="375" t="s">
        <v>662</v>
      </c>
      <c r="C56" s="579" t="s">
        <v>420</v>
      </c>
      <c r="D56" s="226"/>
      <c r="E56" s="1460"/>
      <c r="I56" s="377" t="s">
        <v>194</v>
      </c>
      <c r="J56" s="375" t="s">
        <v>662</v>
      </c>
      <c r="K56" s="579" t="s">
        <v>420</v>
      </c>
      <c r="L56" s="855">
        <f>'смета факт 16'!D168</f>
        <v>0</v>
      </c>
      <c r="M56" s="1460"/>
    </row>
    <row r="57" spans="1:13" ht="15.75">
      <c r="A57" s="377" t="s">
        <v>195</v>
      </c>
      <c r="B57" s="375" t="s">
        <v>663</v>
      </c>
      <c r="C57" s="579" t="s">
        <v>420</v>
      </c>
      <c r="D57" s="226"/>
      <c r="E57" s="1460"/>
      <c r="I57" s="377" t="s">
        <v>195</v>
      </c>
      <c r="J57" s="375" t="s">
        <v>663</v>
      </c>
      <c r="K57" s="579" t="s">
        <v>420</v>
      </c>
      <c r="L57" s="855">
        <f>'смета факт 16'!D167+'смета факт 16'!D164</f>
        <v>0</v>
      </c>
      <c r="M57" s="1460"/>
    </row>
    <row r="58" spans="1:13" ht="31.5">
      <c r="A58" s="377" t="s">
        <v>203</v>
      </c>
      <c r="B58" s="375" t="s">
        <v>664</v>
      </c>
      <c r="C58" s="579" t="s">
        <v>420</v>
      </c>
      <c r="D58" s="226"/>
      <c r="E58" s="1460"/>
      <c r="I58" s="377" t="s">
        <v>203</v>
      </c>
      <c r="J58" s="375" t="s">
        <v>664</v>
      </c>
      <c r="K58" s="579" t="s">
        <v>420</v>
      </c>
      <c r="L58" s="855">
        <f>MIN('смета факт 16'!D166,K124+L124)</f>
        <v>0</v>
      </c>
      <c r="M58" s="1460"/>
    </row>
    <row r="59" spans="1:13" ht="15.75">
      <c r="A59" s="377" t="s">
        <v>204</v>
      </c>
      <c r="B59" s="375" t="s">
        <v>665</v>
      </c>
      <c r="C59" s="579" t="s">
        <v>420</v>
      </c>
      <c r="D59" s="226"/>
      <c r="E59" s="1460"/>
      <c r="I59" s="377" t="s">
        <v>204</v>
      </c>
      <c r="J59" s="375" t="s">
        <v>665</v>
      </c>
      <c r="K59" s="579" t="s">
        <v>420</v>
      </c>
      <c r="L59" s="855">
        <f>'смета факт 16'!D170</f>
        <v>0</v>
      </c>
      <c r="M59" s="1460"/>
    </row>
    <row r="60" spans="1:13" ht="31.5">
      <c r="A60" s="377" t="s">
        <v>205</v>
      </c>
      <c r="B60" s="375" t="s">
        <v>666</v>
      </c>
      <c r="C60" s="579" t="s">
        <v>420</v>
      </c>
      <c r="D60" s="226"/>
      <c r="E60" s="1460"/>
      <c r="I60" s="377" t="s">
        <v>205</v>
      </c>
      <c r="J60" s="375" t="s">
        <v>666</v>
      </c>
      <c r="K60" s="579" t="s">
        <v>420</v>
      </c>
      <c r="L60" s="855">
        <f>'смета факт 16'!D169</f>
        <v>0</v>
      </c>
      <c r="M60" s="1460"/>
    </row>
    <row r="61" spans="1:13" ht="15.75">
      <c r="A61" s="377" t="s">
        <v>206</v>
      </c>
      <c r="B61" s="375" t="s">
        <v>667</v>
      </c>
      <c r="C61" s="579" t="s">
        <v>420</v>
      </c>
      <c r="D61" s="226"/>
      <c r="E61" s="1460"/>
      <c r="I61" s="377" t="s">
        <v>206</v>
      </c>
      <c r="J61" s="375" t="s">
        <v>667</v>
      </c>
      <c r="K61" s="579" t="s">
        <v>420</v>
      </c>
      <c r="L61" s="855">
        <f>'смета факт 16'!D171</f>
        <v>0</v>
      </c>
      <c r="M61" s="1460"/>
    </row>
    <row r="62" spans="1:13" ht="31.5">
      <c r="A62" s="428" t="s">
        <v>207</v>
      </c>
      <c r="B62" s="379" t="s">
        <v>668</v>
      </c>
      <c r="C62" s="579" t="s">
        <v>420</v>
      </c>
      <c r="D62" s="226"/>
      <c r="E62" s="1460"/>
      <c r="I62" s="428" t="s">
        <v>207</v>
      </c>
      <c r="J62" s="379" t="s">
        <v>668</v>
      </c>
      <c r="K62" s="579" t="s">
        <v>420</v>
      </c>
      <c r="L62" s="855">
        <f>'смета факт 16'!D161+'смета факт 16'!D162+'смета факт 16'!D163</f>
        <v>0</v>
      </c>
      <c r="M62" s="1460"/>
    </row>
    <row r="63" spans="1:13" ht="15.75">
      <c r="A63" s="428" t="s">
        <v>212</v>
      </c>
      <c r="B63" s="379" t="s">
        <v>671</v>
      </c>
      <c r="C63" s="579" t="s">
        <v>420</v>
      </c>
      <c r="D63" s="226"/>
      <c r="E63" s="1460"/>
      <c r="I63" s="428" t="s">
        <v>212</v>
      </c>
      <c r="J63" s="379" t="s">
        <v>671</v>
      </c>
      <c r="K63" s="579" t="s">
        <v>420</v>
      </c>
      <c r="L63" s="855">
        <f>'смета факт 16'!E181</f>
        <v>0</v>
      </c>
      <c r="M63" s="1460"/>
    </row>
    <row r="64" spans="1:13" ht="15.75">
      <c r="A64" s="428" t="s">
        <v>324</v>
      </c>
      <c r="B64" s="379" t="s">
        <v>673</v>
      </c>
      <c r="C64" s="579" t="s">
        <v>420</v>
      </c>
      <c r="D64" s="1313"/>
      <c r="E64" s="1460"/>
      <c r="I64" s="428" t="s">
        <v>324</v>
      </c>
      <c r="J64" s="379" t="s">
        <v>673</v>
      </c>
      <c r="K64" s="579" t="s">
        <v>420</v>
      </c>
      <c r="L64" s="1194"/>
      <c r="M64" s="1460"/>
    </row>
    <row r="65" spans="1:13" ht="15.75">
      <c r="A65" s="428" t="s">
        <v>317</v>
      </c>
      <c r="B65" s="1195"/>
      <c r="C65" s="579" t="s">
        <v>420</v>
      </c>
      <c r="D65" s="1360"/>
      <c r="E65" s="1454"/>
      <c r="I65" s="428" t="s">
        <v>317</v>
      </c>
      <c r="J65" s="1196"/>
      <c r="K65" s="579" t="s">
        <v>420</v>
      </c>
      <c r="L65" s="1194"/>
      <c r="M65" s="1454"/>
    </row>
    <row r="66" spans="1:13" ht="15.75">
      <c r="A66" s="428" t="s">
        <v>1826</v>
      </c>
      <c r="B66" s="379" t="s">
        <v>1827</v>
      </c>
      <c r="C66" s="579" t="s">
        <v>420</v>
      </c>
      <c r="D66" s="854">
        <f>D48+D54+D62+D63+D64+D65</f>
        <v>0</v>
      </c>
      <c r="E66" s="1192"/>
      <c r="I66" s="428" t="s">
        <v>1826</v>
      </c>
      <c r="J66" s="379" t="s">
        <v>1827</v>
      </c>
      <c r="K66" s="579" t="s">
        <v>420</v>
      </c>
      <c r="L66" s="854">
        <f>L48+L54+L62+L63+L64+L65</f>
        <v>0</v>
      </c>
      <c r="M66" s="579"/>
    </row>
    <row r="69" spans="1:13">
      <c r="A69" s="371" t="s">
        <v>1829</v>
      </c>
      <c r="B69" s="372"/>
      <c r="C69" s="372"/>
      <c r="I69" s="371" t="s">
        <v>1829</v>
      </c>
      <c r="J69" s="372"/>
      <c r="K69" s="372"/>
      <c r="L69" s="372"/>
    </row>
    <row r="70" spans="1:13" ht="15.75">
      <c r="A70" s="1449" t="s">
        <v>183</v>
      </c>
      <c r="B70" s="1451" t="s">
        <v>308</v>
      </c>
      <c r="C70" s="1451" t="s">
        <v>413</v>
      </c>
      <c r="D70" s="1098" t="s">
        <v>1140</v>
      </c>
      <c r="E70" s="1451" t="s">
        <v>459</v>
      </c>
      <c r="I70" s="1449" t="s">
        <v>183</v>
      </c>
      <c r="J70" s="1451" t="s">
        <v>308</v>
      </c>
      <c r="K70" s="1451" t="s">
        <v>413</v>
      </c>
      <c r="L70" s="1098" t="s">
        <v>1140</v>
      </c>
      <c r="M70" s="1451" t="s">
        <v>459</v>
      </c>
    </row>
    <row r="71" spans="1:13" ht="15.75">
      <c r="A71" s="1450"/>
      <c r="B71" s="1452"/>
      <c r="C71" s="1452"/>
      <c r="D71" s="1098" t="s">
        <v>309</v>
      </c>
      <c r="E71" s="1452"/>
      <c r="I71" s="1450"/>
      <c r="J71" s="1452"/>
      <c r="K71" s="1452"/>
      <c r="L71" s="1098" t="s">
        <v>309</v>
      </c>
      <c r="M71" s="1452"/>
    </row>
    <row r="72" spans="1:13" ht="36">
      <c r="A72" s="1098" t="s">
        <v>1833</v>
      </c>
      <c r="B72" s="332" t="s">
        <v>1832</v>
      </c>
      <c r="C72" s="378" t="s">
        <v>420</v>
      </c>
      <c r="D72" s="1361"/>
      <c r="E72" s="1094" t="s">
        <v>1830</v>
      </c>
      <c r="I72" s="1098" t="s">
        <v>1833</v>
      </c>
      <c r="J72" s="332" t="s">
        <v>1832</v>
      </c>
      <c r="K72" s="378" t="s">
        <v>420</v>
      </c>
      <c r="L72" s="1207">
        <f>'смета факт 16'!D157</f>
        <v>0</v>
      </c>
      <c r="M72" s="1094" t="s">
        <v>1830</v>
      </c>
    </row>
    <row r="73" spans="1:13">
      <c r="A73" s="366"/>
      <c r="I73" s="366"/>
    </row>
    <row r="75" spans="1:13">
      <c r="A75" s="371" t="s">
        <v>1835</v>
      </c>
      <c r="B75" s="372"/>
      <c r="C75" s="372"/>
      <c r="I75" s="371" t="s">
        <v>1835</v>
      </c>
      <c r="J75" s="372"/>
      <c r="K75" s="372"/>
      <c r="L75" s="372"/>
    </row>
    <row r="76" spans="1:13" ht="15.75">
      <c r="A76" s="1449" t="s">
        <v>183</v>
      </c>
      <c r="B76" s="1451" t="s">
        <v>308</v>
      </c>
      <c r="C76" s="1451" t="s">
        <v>413</v>
      </c>
      <c r="D76" s="1098" t="s">
        <v>1140</v>
      </c>
      <c r="E76" s="1451" t="s">
        <v>459</v>
      </c>
      <c r="I76" s="1449" t="s">
        <v>183</v>
      </c>
      <c r="J76" s="1451" t="s">
        <v>308</v>
      </c>
      <c r="K76" s="1451" t="s">
        <v>413</v>
      </c>
      <c r="L76" s="1098" t="s">
        <v>1140</v>
      </c>
      <c r="M76" s="1451" t="s">
        <v>459</v>
      </c>
    </row>
    <row r="77" spans="1:13" ht="15.75">
      <c r="A77" s="1450"/>
      <c r="B77" s="1452"/>
      <c r="C77" s="1452"/>
      <c r="D77" s="1098" t="s">
        <v>309</v>
      </c>
      <c r="E77" s="1452"/>
      <c r="I77" s="1450"/>
      <c r="J77" s="1452"/>
      <c r="K77" s="1452"/>
      <c r="L77" s="1098" t="s">
        <v>309</v>
      </c>
      <c r="M77" s="1452"/>
    </row>
    <row r="78" spans="1:13" s="366" customFormat="1" ht="48">
      <c r="A78" s="55">
        <v>1</v>
      </c>
      <c r="B78" s="788" t="s">
        <v>932</v>
      </c>
      <c r="C78" s="374" t="s">
        <v>246</v>
      </c>
      <c r="D78" s="374">
        <f>'данные об организации'!G30</f>
        <v>0</v>
      </c>
      <c r="E78" s="1094" t="s">
        <v>1623</v>
      </c>
      <c r="I78" s="55">
        <v>1</v>
      </c>
      <c r="J78" s="788" t="s">
        <v>932</v>
      </c>
      <c r="K78" s="374" t="s">
        <v>246</v>
      </c>
      <c r="L78" s="374">
        <f>'НВВ базовый расчет'!D53</f>
        <v>0</v>
      </c>
      <c r="M78" s="1094" t="s">
        <v>1623</v>
      </c>
    </row>
    <row r="79" spans="1:13" ht="15.75">
      <c r="A79" s="55">
        <v>2</v>
      </c>
      <c r="B79" s="788" t="s">
        <v>1831</v>
      </c>
      <c r="C79" s="374" t="s">
        <v>420</v>
      </c>
      <c r="D79" s="374">
        <f>D28+D42+D66</f>
        <v>0</v>
      </c>
      <c r="E79" s="367"/>
      <c r="I79" s="55">
        <v>2</v>
      </c>
      <c r="J79" s="788" t="s">
        <v>1831</v>
      </c>
      <c r="K79" s="374" t="s">
        <v>420</v>
      </c>
      <c r="L79" s="374">
        <f>L28+L42+L66</f>
        <v>0</v>
      </c>
      <c r="M79" s="367"/>
    </row>
    <row r="80" spans="1:13" ht="15.75">
      <c r="A80" s="55">
        <v>3</v>
      </c>
      <c r="B80" s="611" t="s">
        <v>1832</v>
      </c>
      <c r="C80" s="374" t="s">
        <v>420</v>
      </c>
      <c r="D80" s="374">
        <f>D72</f>
        <v>0</v>
      </c>
      <c r="E80" s="367"/>
      <c r="I80" s="55">
        <v>3</v>
      </c>
      <c r="J80" s="611" t="s">
        <v>1832</v>
      </c>
      <c r="K80" s="374" t="s">
        <v>420</v>
      </c>
      <c r="L80" s="374">
        <f>L72</f>
        <v>0</v>
      </c>
      <c r="M80" s="367"/>
    </row>
    <row r="81" spans="1:14" ht="60">
      <c r="A81" s="55" t="s">
        <v>721</v>
      </c>
      <c r="B81" s="611" t="s">
        <v>647</v>
      </c>
      <c r="C81" s="374" t="s">
        <v>420</v>
      </c>
      <c r="D81" s="374">
        <f>D78*(D79+D80)/100</f>
        <v>0</v>
      </c>
      <c r="E81" s="1094" t="s">
        <v>1837</v>
      </c>
      <c r="I81" s="55" t="s">
        <v>721</v>
      </c>
      <c r="J81" s="611" t="s">
        <v>647</v>
      </c>
      <c r="K81" s="374" t="s">
        <v>420</v>
      </c>
      <c r="L81" s="374">
        <f>L78*(L79+L80)/100</f>
        <v>0</v>
      </c>
      <c r="M81" s="1094" t="s">
        <v>1837</v>
      </c>
      <c r="N81" s="382" t="s">
        <v>2004</v>
      </c>
    </row>
    <row r="82" spans="1:14" ht="48">
      <c r="A82" s="377" t="s">
        <v>722</v>
      </c>
      <c r="B82" s="611" t="s">
        <v>1838</v>
      </c>
      <c r="C82" s="374" t="s">
        <v>420</v>
      </c>
      <c r="D82" s="1197"/>
      <c r="E82" s="1091" t="s">
        <v>1839</v>
      </c>
      <c r="I82" s="377" t="s">
        <v>722</v>
      </c>
      <c r="J82" s="611" t="s">
        <v>1838</v>
      </c>
      <c r="K82" s="374" t="s">
        <v>420</v>
      </c>
      <c r="L82" s="1365"/>
      <c r="M82" s="1091" t="s">
        <v>1839</v>
      </c>
      <c r="N82" s="382" t="s">
        <v>2004</v>
      </c>
    </row>
    <row r="83" spans="1:14" ht="15.75">
      <c r="A83" s="428" t="s">
        <v>1834</v>
      </c>
      <c r="B83" s="332" t="s">
        <v>647</v>
      </c>
      <c r="C83" s="378" t="s">
        <v>420</v>
      </c>
      <c r="D83" s="378">
        <f>D81+D82</f>
        <v>0</v>
      </c>
      <c r="E83" s="789"/>
      <c r="I83" s="428" t="s">
        <v>1834</v>
      </c>
      <c r="J83" s="332" t="s">
        <v>647</v>
      </c>
      <c r="K83" s="378" t="s">
        <v>420</v>
      </c>
      <c r="L83" s="378">
        <f>L81+L82</f>
        <v>0</v>
      </c>
      <c r="M83" s="1186"/>
    </row>
    <row r="86" spans="1:14">
      <c r="A86" s="371" t="s">
        <v>1836</v>
      </c>
      <c r="B86" s="372"/>
      <c r="C86" s="372"/>
      <c r="D86" s="372"/>
      <c r="E86" s="372"/>
      <c r="I86" s="371" t="s">
        <v>1836</v>
      </c>
      <c r="J86" s="372"/>
      <c r="K86" s="372"/>
      <c r="L86" s="372"/>
      <c r="M86" s="372"/>
    </row>
    <row r="87" spans="1:14" ht="15.75">
      <c r="A87" s="1449" t="s">
        <v>183</v>
      </c>
      <c r="B87" s="1451" t="s">
        <v>308</v>
      </c>
      <c r="C87" s="1451" t="s">
        <v>413</v>
      </c>
      <c r="D87" s="1098" t="s">
        <v>1140</v>
      </c>
      <c r="E87" s="1451" t="s">
        <v>459</v>
      </c>
      <c r="I87" s="1449" t="s">
        <v>183</v>
      </c>
      <c r="J87" s="1451" t="s">
        <v>308</v>
      </c>
      <c r="K87" s="1451" t="s">
        <v>413</v>
      </c>
      <c r="L87" s="1098" t="s">
        <v>1140</v>
      </c>
      <c r="M87" s="1451" t="s">
        <v>459</v>
      </c>
    </row>
    <row r="88" spans="1:14" ht="15.75">
      <c r="A88" s="1450"/>
      <c r="B88" s="1452"/>
      <c r="C88" s="1452"/>
      <c r="D88" s="1098" t="s">
        <v>309</v>
      </c>
      <c r="E88" s="1452"/>
      <c r="I88" s="1450"/>
      <c r="J88" s="1452"/>
      <c r="K88" s="1452"/>
      <c r="L88" s="1098" t="s">
        <v>309</v>
      </c>
      <c r="M88" s="1452"/>
    </row>
    <row r="89" spans="1:14" ht="15.75">
      <c r="A89" s="377" t="s">
        <v>387</v>
      </c>
      <c r="B89" s="375" t="s">
        <v>612</v>
      </c>
      <c r="C89" s="579" t="s">
        <v>420</v>
      </c>
      <c r="D89" s="374">
        <f>D28</f>
        <v>0</v>
      </c>
      <c r="E89" s="367"/>
      <c r="I89" s="377" t="s">
        <v>387</v>
      </c>
      <c r="J89" s="375" t="s">
        <v>612</v>
      </c>
      <c r="K89" s="579" t="s">
        <v>420</v>
      </c>
      <c r="L89" s="374">
        <f>L28</f>
        <v>0</v>
      </c>
      <c r="M89" s="367"/>
    </row>
    <row r="90" spans="1:14" ht="15.75">
      <c r="A90" s="377" t="s">
        <v>311</v>
      </c>
      <c r="B90" s="375" t="s">
        <v>954</v>
      </c>
      <c r="C90" s="579" t="s">
        <v>420</v>
      </c>
      <c r="D90" s="374">
        <f>D42</f>
        <v>0</v>
      </c>
      <c r="E90" s="367"/>
      <c r="I90" s="377" t="s">
        <v>311</v>
      </c>
      <c r="J90" s="375" t="s">
        <v>954</v>
      </c>
      <c r="K90" s="579" t="s">
        <v>420</v>
      </c>
      <c r="L90" s="374">
        <f>L42</f>
        <v>0</v>
      </c>
      <c r="M90" s="367"/>
    </row>
    <row r="91" spans="1:14" ht="15.75">
      <c r="A91" s="377" t="s">
        <v>207</v>
      </c>
      <c r="B91" s="375" t="s">
        <v>645</v>
      </c>
      <c r="C91" s="579" t="s">
        <v>420</v>
      </c>
      <c r="D91" s="374">
        <f>D66</f>
        <v>0</v>
      </c>
      <c r="E91" s="367"/>
      <c r="I91" s="377" t="s">
        <v>207</v>
      </c>
      <c r="J91" s="375" t="s">
        <v>645</v>
      </c>
      <c r="K91" s="579" t="s">
        <v>420</v>
      </c>
      <c r="L91" s="374">
        <f>L66</f>
        <v>0</v>
      </c>
      <c r="M91" s="367"/>
    </row>
    <row r="92" spans="1:14" ht="15.75">
      <c r="A92" s="377" t="s">
        <v>212</v>
      </c>
      <c r="B92" s="375" t="s">
        <v>646</v>
      </c>
      <c r="C92" s="579" t="s">
        <v>420</v>
      </c>
      <c r="D92" s="374">
        <f>D72</f>
        <v>0</v>
      </c>
      <c r="E92" s="367"/>
      <c r="I92" s="377" t="s">
        <v>212</v>
      </c>
      <c r="J92" s="375" t="s">
        <v>646</v>
      </c>
      <c r="K92" s="579" t="s">
        <v>420</v>
      </c>
      <c r="L92" s="374">
        <f>L72</f>
        <v>0</v>
      </c>
      <c r="M92" s="367"/>
    </row>
    <row r="93" spans="1:14" ht="15.75">
      <c r="A93" s="377" t="s">
        <v>324</v>
      </c>
      <c r="B93" s="375" t="s">
        <v>647</v>
      </c>
      <c r="C93" s="579" t="s">
        <v>420</v>
      </c>
      <c r="D93" s="374">
        <f>D83</f>
        <v>0</v>
      </c>
      <c r="E93" s="367"/>
      <c r="I93" s="377" t="s">
        <v>324</v>
      </c>
      <c r="J93" s="375" t="s">
        <v>647</v>
      </c>
      <c r="K93" s="579" t="s">
        <v>420</v>
      </c>
      <c r="L93" s="374">
        <f>L83</f>
        <v>0</v>
      </c>
      <c r="M93" s="367"/>
    </row>
    <row r="94" spans="1:14" ht="31.5">
      <c r="A94" s="377" t="s">
        <v>317</v>
      </c>
      <c r="B94" s="375" t="s">
        <v>1840</v>
      </c>
      <c r="C94" s="579" t="s">
        <v>420</v>
      </c>
      <c r="D94" s="368"/>
      <c r="E94" s="367"/>
      <c r="I94" s="377" t="s">
        <v>317</v>
      </c>
      <c r="J94" s="375" t="s">
        <v>1840</v>
      </c>
      <c r="K94" s="579" t="s">
        <v>420</v>
      </c>
      <c r="L94" s="374">
        <f>'НВВ базовый расчет'!D56</f>
        <v>0</v>
      </c>
      <c r="M94" s="367"/>
    </row>
    <row r="95" spans="1:14" ht="15.75">
      <c r="A95" s="428" t="s">
        <v>1842</v>
      </c>
      <c r="B95" s="379" t="s">
        <v>1841</v>
      </c>
      <c r="C95" s="605" t="s">
        <v>420</v>
      </c>
      <c r="D95" s="378">
        <f>SUM(D89:D94)</f>
        <v>0</v>
      </c>
      <c r="E95" s="791"/>
      <c r="I95" s="428" t="s">
        <v>1842</v>
      </c>
      <c r="J95" s="379" t="s">
        <v>1841</v>
      </c>
      <c r="K95" s="605" t="s">
        <v>420</v>
      </c>
      <c r="L95" s="378">
        <f>SUM(L89:L94)</f>
        <v>0</v>
      </c>
      <c r="M95" s="786"/>
    </row>
    <row r="98" spans="1:13" ht="34.5" customHeight="1">
      <c r="A98" s="1448" t="s">
        <v>1879</v>
      </c>
      <c r="B98" s="1448"/>
      <c r="C98" s="1448"/>
      <c r="D98" s="1448"/>
      <c r="E98" s="1448"/>
      <c r="I98" s="1448" t="s">
        <v>1879</v>
      </c>
      <c r="J98" s="1448"/>
      <c r="K98" s="1448"/>
      <c r="L98" s="1448"/>
      <c r="M98" s="1448"/>
    </row>
    <row r="99" spans="1:13" ht="15.75">
      <c r="A99" s="1449" t="s">
        <v>183</v>
      </c>
      <c r="B99" s="1451" t="s">
        <v>308</v>
      </c>
      <c r="C99" s="1451" t="s">
        <v>413</v>
      </c>
      <c r="D99" s="1098" t="s">
        <v>1140</v>
      </c>
      <c r="E99" s="1451" t="s">
        <v>459</v>
      </c>
      <c r="I99" s="1449" t="s">
        <v>183</v>
      </c>
      <c r="J99" s="1451" t="s">
        <v>308</v>
      </c>
      <c r="K99" s="1451" t="s">
        <v>413</v>
      </c>
      <c r="L99" s="1098" t="s">
        <v>1140</v>
      </c>
      <c r="M99" s="1451" t="s">
        <v>459</v>
      </c>
    </row>
    <row r="100" spans="1:13" ht="15.75">
      <c r="A100" s="1450"/>
      <c r="B100" s="1452"/>
      <c r="C100" s="1452"/>
      <c r="D100" s="1098" t="s">
        <v>309</v>
      </c>
      <c r="E100" s="1452"/>
      <c r="I100" s="1450"/>
      <c r="J100" s="1452"/>
      <c r="K100" s="1452"/>
      <c r="L100" s="1098" t="s">
        <v>309</v>
      </c>
      <c r="M100" s="1452"/>
    </row>
    <row r="101" spans="1:13" ht="31.5">
      <c r="A101" s="377" t="s">
        <v>387</v>
      </c>
      <c r="B101" s="375" t="s">
        <v>1880</v>
      </c>
      <c r="C101" s="579" t="s">
        <v>420</v>
      </c>
      <c r="D101" s="374">
        <f>D95</f>
        <v>0</v>
      </c>
      <c r="E101" s="367"/>
      <c r="I101" s="377" t="s">
        <v>387</v>
      </c>
      <c r="J101" s="375" t="s">
        <v>1880</v>
      </c>
      <c r="K101" s="579" t="s">
        <v>420</v>
      </c>
      <c r="L101" s="374">
        <f>L95</f>
        <v>0</v>
      </c>
      <c r="M101" s="367"/>
    </row>
    <row r="102" spans="1:13" ht="36.75">
      <c r="A102" s="377" t="s">
        <v>311</v>
      </c>
      <c r="B102" s="375" t="s">
        <v>1881</v>
      </c>
      <c r="C102" s="579" t="s">
        <v>420</v>
      </c>
      <c r="D102" s="368"/>
      <c r="E102" s="794" t="s">
        <v>1882</v>
      </c>
      <c r="I102" s="377" t="s">
        <v>311</v>
      </c>
      <c r="J102" s="375" t="s">
        <v>1881</v>
      </c>
      <c r="K102" s="579" t="s">
        <v>420</v>
      </c>
      <c r="L102" s="1198"/>
      <c r="M102" s="794" t="s">
        <v>1989</v>
      </c>
    </row>
    <row r="103" spans="1:13" ht="47.25">
      <c r="A103" s="428" t="s">
        <v>1884</v>
      </c>
      <c r="B103" s="379" t="s">
        <v>1883</v>
      </c>
      <c r="C103" s="605" t="s">
        <v>420</v>
      </c>
      <c r="D103" s="378">
        <f>D101-D102</f>
        <v>0</v>
      </c>
      <c r="E103" s="794"/>
      <c r="I103" s="428" t="s">
        <v>1884</v>
      </c>
      <c r="J103" s="379" t="s">
        <v>1883</v>
      </c>
      <c r="K103" s="605" t="s">
        <v>420</v>
      </c>
      <c r="L103" s="378">
        <f>L101-L102</f>
        <v>0</v>
      </c>
      <c r="M103" s="794"/>
    </row>
    <row r="107" spans="1:13" ht="15.75" thickBot="1">
      <c r="I107" s="805" t="s">
        <v>1086</v>
      </c>
      <c r="J107" s="372"/>
      <c r="K107" s="372"/>
      <c r="L107" s="372"/>
    </row>
    <row r="108" spans="1:13" ht="16.5" thickBot="1">
      <c r="I108" s="372"/>
      <c r="J108" s="1217" t="s">
        <v>1083</v>
      </c>
      <c r="K108" s="1218"/>
      <c r="L108" s="1219" t="str">
        <f>'водный налог'!C8</f>
        <v>подземные источники</v>
      </c>
    </row>
    <row r="109" spans="1:13">
      <c r="I109" s="372"/>
      <c r="J109" s="372"/>
      <c r="K109" s="372"/>
      <c r="L109" s="372"/>
    </row>
    <row r="110" spans="1:13">
      <c r="I110" s="372"/>
      <c r="J110" s="372"/>
      <c r="K110" s="1208"/>
      <c r="L110" s="372"/>
    </row>
    <row r="111" spans="1:13">
      <c r="I111" s="1465" t="s">
        <v>183</v>
      </c>
      <c r="J111" s="1465" t="s">
        <v>467</v>
      </c>
      <c r="K111" s="1468" t="s">
        <v>1140</v>
      </c>
      <c r="L111" s="1468"/>
    </row>
    <row r="112" spans="1:13">
      <c r="I112" s="1466"/>
      <c r="J112" s="1466"/>
      <c r="K112" s="1469" t="s">
        <v>1087</v>
      </c>
      <c r="L112" s="1469"/>
    </row>
    <row r="113" spans="9:12" ht="38.25">
      <c r="I113" s="1467"/>
      <c r="J113" s="1467"/>
      <c r="K113" s="1210" t="s">
        <v>1088</v>
      </c>
      <c r="L113" s="1211" t="s">
        <v>1089</v>
      </c>
    </row>
    <row r="114" spans="9:12" ht="15.75">
      <c r="I114" s="1107">
        <v>1</v>
      </c>
      <c r="J114" s="1212" t="s">
        <v>1090</v>
      </c>
      <c r="K114" s="586">
        <f>K115+K116</f>
        <v>0</v>
      </c>
      <c r="L114" s="586">
        <f t="shared" ref="L114" si="0">L115+L116</f>
        <v>0</v>
      </c>
    </row>
    <row r="115" spans="9:12" ht="15.75">
      <c r="I115" s="1211" t="s">
        <v>224</v>
      </c>
      <c r="J115" s="1213" t="s">
        <v>1091</v>
      </c>
      <c r="K115" s="587">
        <f>IF(L108="поверхностные источники",IF(L16=0,,#REF!/L16*L9),0)</f>
        <v>0</v>
      </c>
      <c r="L115" s="587">
        <f>IF(L108="подземные источники",IF(L16=0,,'баланс ВСН'!R16/L16*L9),0)</f>
        <v>0</v>
      </c>
    </row>
    <row r="116" spans="9:12" ht="38.25">
      <c r="I116" s="1211" t="s">
        <v>226</v>
      </c>
      <c r="J116" s="1213" t="s">
        <v>1092</v>
      </c>
      <c r="K116" s="587">
        <f>IF(L108="поверхностные источники",L9-K115,0)</f>
        <v>0</v>
      </c>
      <c r="L116" s="587">
        <f>IF(L108="подземные источники",L9-L115,0)</f>
        <v>0</v>
      </c>
    </row>
    <row r="117" spans="9:12">
      <c r="I117" s="1211" t="s">
        <v>1093</v>
      </c>
      <c r="J117" s="1214" t="s">
        <v>1094</v>
      </c>
      <c r="K117" s="587">
        <f>IF(L108="поверхностные источники",K114,0)-K118</f>
        <v>0</v>
      </c>
      <c r="L117" s="587">
        <f>IF(L108="подземные источники",L114,0)-L118</f>
        <v>0</v>
      </c>
    </row>
    <row r="118" spans="9:12">
      <c r="I118" s="1211" t="s">
        <v>1095</v>
      </c>
      <c r="J118" s="1214" t="s">
        <v>1096</v>
      </c>
      <c r="K118" s="588"/>
      <c r="L118" s="588"/>
    </row>
    <row r="119" spans="9:12" ht="15.75">
      <c r="I119" s="1107" t="s">
        <v>228</v>
      </c>
      <c r="J119" s="1212" t="s">
        <v>1097</v>
      </c>
      <c r="K119" s="859"/>
      <c r="L119" s="859"/>
    </row>
    <row r="120" spans="9:12">
      <c r="I120" s="1211" t="s">
        <v>428</v>
      </c>
      <c r="J120" s="1213" t="s">
        <v>1098</v>
      </c>
      <c r="K120" s="590">
        <f>93/1000</f>
        <v>9.2999999999999999E-2</v>
      </c>
      <c r="L120" s="590">
        <f>K120</f>
        <v>9.2999999999999999E-2</v>
      </c>
    </row>
    <row r="121" spans="9:12">
      <c r="I121" s="1211" t="s">
        <v>431</v>
      </c>
      <c r="J121" s="1213" t="s">
        <v>1099</v>
      </c>
      <c r="K121" s="859"/>
      <c r="L121" s="859"/>
    </row>
    <row r="122" spans="9:12">
      <c r="I122" s="1215" t="s">
        <v>1100</v>
      </c>
      <c r="J122" s="1214" t="s">
        <v>1094</v>
      </c>
      <c r="K122" s="590">
        <f>ROUND(270*1.32,0)/1000</f>
        <v>0.35599999999999998</v>
      </c>
      <c r="L122" s="590">
        <f>ROUND(330*1.32,0)/1000</f>
        <v>0.436</v>
      </c>
    </row>
    <row r="123" spans="9:12">
      <c r="I123" s="1211" t="s">
        <v>1101</v>
      </c>
      <c r="J123" s="1214" t="s">
        <v>1096</v>
      </c>
      <c r="K123" s="590">
        <f>ROUND(276*1.32,0)/1000</f>
        <v>0.36399999999999999</v>
      </c>
      <c r="L123" s="590">
        <f>ROUND(342*1.32,0)/1000</f>
        <v>0.45100000000000001</v>
      </c>
    </row>
    <row r="124" spans="9:12">
      <c r="I124" s="1216" t="s">
        <v>230</v>
      </c>
      <c r="J124" s="1212" t="s">
        <v>1102</v>
      </c>
      <c r="K124" s="586">
        <f t="shared" ref="K124:L124" si="1">SUM(K125:K126)</f>
        <v>0</v>
      </c>
      <c r="L124" s="586">
        <f t="shared" si="1"/>
        <v>0</v>
      </c>
    </row>
    <row r="125" spans="9:12">
      <c r="I125" s="1211" t="s">
        <v>232</v>
      </c>
      <c r="J125" s="1213" t="s">
        <v>1098</v>
      </c>
      <c r="K125" s="587">
        <f t="shared" ref="K125:L125" si="2">K115*K120</f>
        <v>0</v>
      </c>
      <c r="L125" s="587">
        <f t="shared" si="2"/>
        <v>0</v>
      </c>
    </row>
    <row r="126" spans="9:12">
      <c r="I126" s="1211" t="s">
        <v>233</v>
      </c>
      <c r="J126" s="1213" t="s">
        <v>1099</v>
      </c>
      <c r="K126" s="587">
        <f t="shared" ref="K126:L126" si="3">SUM(K127:K128)</f>
        <v>0</v>
      </c>
      <c r="L126" s="587">
        <f t="shared" si="3"/>
        <v>0</v>
      </c>
    </row>
    <row r="127" spans="9:12">
      <c r="I127" s="1211" t="s">
        <v>1103</v>
      </c>
      <c r="J127" s="1214" t="s">
        <v>1094</v>
      </c>
      <c r="K127" s="587">
        <f t="shared" ref="K127:L127" si="4">K117*K122</f>
        <v>0</v>
      </c>
      <c r="L127" s="587">
        <f t="shared" si="4"/>
        <v>0</v>
      </c>
    </row>
    <row r="128" spans="9:12">
      <c r="I128" s="1211" t="s">
        <v>573</v>
      </c>
      <c r="J128" s="1214" t="s">
        <v>1096</v>
      </c>
      <c r="K128" s="587">
        <f t="shared" ref="K128:L128" si="5">K118*K123*1000</f>
        <v>0</v>
      </c>
      <c r="L128" s="587">
        <f t="shared" si="5"/>
        <v>0</v>
      </c>
    </row>
    <row r="131" spans="9:12">
      <c r="I131" s="805" t="s">
        <v>1865</v>
      </c>
      <c r="J131" s="372"/>
      <c r="K131" s="372"/>
      <c r="L131" s="372"/>
    </row>
    <row r="132" spans="9:12" ht="15.75">
      <c r="I132" s="1087" t="s">
        <v>183</v>
      </c>
      <c r="J132" s="1089" t="s">
        <v>308</v>
      </c>
      <c r="K132" s="1089" t="s">
        <v>413</v>
      </c>
      <c r="L132" s="1098" t="s">
        <v>1140</v>
      </c>
    </row>
    <row r="133" spans="9:12" ht="15.75">
      <c r="I133" s="1088"/>
      <c r="J133" s="1090"/>
      <c r="K133" s="1090"/>
      <c r="L133" s="1098" t="s">
        <v>309</v>
      </c>
    </row>
    <row r="134" spans="9:12" ht="15.75">
      <c r="I134" s="377" t="s">
        <v>387</v>
      </c>
      <c r="J134" s="1200" t="s">
        <v>1869</v>
      </c>
      <c r="K134" s="579"/>
      <c r="L134" s="374"/>
    </row>
    <row r="135" spans="9:12" ht="15.75">
      <c r="I135" s="377" t="s">
        <v>311</v>
      </c>
      <c r="J135" s="375" t="s">
        <v>1870</v>
      </c>
      <c r="K135" s="579" t="s">
        <v>457</v>
      </c>
      <c r="L135" s="374">
        <f>L12</f>
        <v>0</v>
      </c>
    </row>
    <row r="136" spans="9:12" ht="31.5">
      <c r="I136" s="377" t="s">
        <v>207</v>
      </c>
      <c r="J136" s="375" t="s">
        <v>1871</v>
      </c>
      <c r="K136" s="579" t="s">
        <v>1025</v>
      </c>
      <c r="L136" s="1201"/>
    </row>
    <row r="137" spans="9:12" ht="15.75">
      <c r="I137" s="377" t="s">
        <v>212</v>
      </c>
      <c r="J137" s="375" t="s">
        <v>654</v>
      </c>
      <c r="K137" s="579" t="s">
        <v>1025</v>
      </c>
      <c r="L137" s="374">
        <f>L135*L136</f>
        <v>0</v>
      </c>
    </row>
    <row r="140" spans="9:12">
      <c r="I140" s="805" t="s">
        <v>1872</v>
      </c>
      <c r="J140" s="372"/>
      <c r="K140" s="372"/>
      <c r="L140" s="372"/>
    </row>
    <row r="141" spans="9:12" ht="15.75">
      <c r="I141" s="1087" t="s">
        <v>183</v>
      </c>
      <c r="J141" s="1089" t="s">
        <v>308</v>
      </c>
      <c r="K141" s="1089" t="s">
        <v>413</v>
      </c>
      <c r="L141" s="1098" t="s">
        <v>1140</v>
      </c>
    </row>
    <row r="142" spans="9:12" ht="15.75">
      <c r="I142" s="1088"/>
      <c r="J142" s="1090"/>
      <c r="K142" s="1090"/>
      <c r="L142" s="1098" t="s">
        <v>309</v>
      </c>
    </row>
    <row r="143" spans="9:12" ht="15.75">
      <c r="I143" s="868" t="s">
        <v>387</v>
      </c>
      <c r="J143" s="1209" t="s">
        <v>1873</v>
      </c>
      <c r="K143" s="869" t="s">
        <v>420</v>
      </c>
      <c r="L143" s="870">
        <f>SUM(L28,L42,L48,L56:L61,L62:L65,L72)</f>
        <v>0</v>
      </c>
    </row>
    <row r="144" spans="9:12" ht="15.75">
      <c r="I144" s="868" t="s">
        <v>311</v>
      </c>
      <c r="J144" s="1209" t="s">
        <v>1874</v>
      </c>
      <c r="K144" s="869" t="s">
        <v>420</v>
      </c>
      <c r="L144" s="870">
        <f>IF(L16=0,,L143/L16*'баланс ВСН'!R16)</f>
        <v>0</v>
      </c>
    </row>
    <row r="145" spans="9:12" ht="15.75">
      <c r="I145" s="868" t="s">
        <v>207</v>
      </c>
      <c r="J145" s="1209" t="s">
        <v>11</v>
      </c>
      <c r="K145" s="869"/>
      <c r="L145" s="870">
        <f>Титульный!B23</f>
        <v>0</v>
      </c>
    </row>
    <row r="146" spans="9:12" ht="15.75">
      <c r="I146" s="868" t="s">
        <v>212</v>
      </c>
      <c r="J146" s="1209" t="s">
        <v>1875</v>
      </c>
      <c r="K146" s="869" t="s">
        <v>420</v>
      </c>
      <c r="L146" s="870">
        <f>IF(L145="Общая",L144,L144*1.01)</f>
        <v>0</v>
      </c>
    </row>
    <row r="147" spans="9:12" ht="15.75">
      <c r="I147" s="868" t="s">
        <v>324</v>
      </c>
      <c r="J147" s="1209" t="s">
        <v>1876</v>
      </c>
      <c r="K147" s="869" t="s">
        <v>420</v>
      </c>
      <c r="L147" s="870">
        <f>IF(L145="Общая",0,L146-L144)</f>
        <v>0</v>
      </c>
    </row>
    <row r="148" spans="9:12" ht="15.75">
      <c r="I148" s="868" t="s">
        <v>317</v>
      </c>
      <c r="J148" s="1209" t="s">
        <v>1877</v>
      </c>
      <c r="K148" s="869" t="s">
        <v>420</v>
      </c>
      <c r="L148" s="1202">
        <f>L78*SUM(L28,L42,L48,L56:L61,L62:L65,L72)/100+L82+L94</f>
        <v>0</v>
      </c>
    </row>
    <row r="149" spans="9:12" ht="15.75">
      <c r="I149" s="868" t="s">
        <v>328</v>
      </c>
      <c r="J149" s="1209" t="s">
        <v>692</v>
      </c>
      <c r="K149" s="869" t="s">
        <v>420</v>
      </c>
      <c r="L149" s="870">
        <f>IF(L145="Общая",0,IF(L148/0.9*0.1&gt;L147,L148/0.9*0.1+L148,L148+L147+0.01*L148))</f>
        <v>0</v>
      </c>
    </row>
    <row r="150" spans="9:12" ht="15.75">
      <c r="I150" s="868" t="s">
        <v>330</v>
      </c>
      <c r="J150" s="1209" t="s">
        <v>693</v>
      </c>
      <c r="K150" s="869" t="s">
        <v>420</v>
      </c>
      <c r="L150" s="870">
        <f>IF(L145="Общая",L148/0.8,0)</f>
        <v>0</v>
      </c>
    </row>
    <row r="151" spans="9:12" ht="15.75">
      <c r="I151" s="868" t="s">
        <v>338</v>
      </c>
      <c r="J151" s="1209" t="s">
        <v>694</v>
      </c>
      <c r="K151" s="869" t="s">
        <v>420</v>
      </c>
      <c r="L151" s="870">
        <f>IF(0.1*L149&lt;=L147,L147+0.01*L148,0.1*L149)</f>
        <v>0</v>
      </c>
    </row>
    <row r="152" spans="9:12" ht="15.75">
      <c r="I152" s="868" t="s">
        <v>342</v>
      </c>
      <c r="J152" s="1209" t="s">
        <v>695</v>
      </c>
      <c r="K152" s="869" t="s">
        <v>420</v>
      </c>
      <c r="L152" s="870">
        <f>0.2*L150</f>
        <v>0</v>
      </c>
    </row>
  </sheetData>
  <sheetProtection password="F66E" sheet="1" objects="1" scenarios="1" formatCells="0" formatColumns="0" formatRows="0"/>
  <mergeCells count="62">
    <mergeCell ref="J111:J113"/>
    <mergeCell ref="I111:I113"/>
    <mergeCell ref="K111:L111"/>
    <mergeCell ref="K112:L112"/>
    <mergeCell ref="I76:I77"/>
    <mergeCell ref="J76:J77"/>
    <mergeCell ref="K76:K77"/>
    <mergeCell ref="I98:M98"/>
    <mergeCell ref="I99:I100"/>
    <mergeCell ref="J99:J100"/>
    <mergeCell ref="K99:K100"/>
    <mergeCell ref="M99:M100"/>
    <mergeCell ref="M76:M77"/>
    <mergeCell ref="I87:I88"/>
    <mergeCell ref="J87:J88"/>
    <mergeCell ref="K87:K88"/>
    <mergeCell ref="M87:M88"/>
    <mergeCell ref="E70:E71"/>
    <mergeCell ref="A32:A33"/>
    <mergeCell ref="B32:B33"/>
    <mergeCell ref="I1:M1"/>
    <mergeCell ref="M10:M12"/>
    <mergeCell ref="M21:M22"/>
    <mergeCell ref="I32:I33"/>
    <mergeCell ref="J32:J33"/>
    <mergeCell ref="K32:K33"/>
    <mergeCell ref="M32:M33"/>
    <mergeCell ref="I2:M2"/>
    <mergeCell ref="I3:M3"/>
    <mergeCell ref="I70:I71"/>
    <mergeCell ref="J70:J71"/>
    <mergeCell ref="K70:K71"/>
    <mergeCell ref="M70:M71"/>
    <mergeCell ref="E46:E47"/>
    <mergeCell ref="A46:A47"/>
    <mergeCell ref="B46:B47"/>
    <mergeCell ref="C46:C47"/>
    <mergeCell ref="M48:M65"/>
    <mergeCell ref="A87:A88"/>
    <mergeCell ref="B87:B88"/>
    <mergeCell ref="C87:C88"/>
    <mergeCell ref="E87:E88"/>
    <mergeCell ref="E48:E65"/>
    <mergeCell ref="A76:A77"/>
    <mergeCell ref="B76:B77"/>
    <mergeCell ref="C76:C77"/>
    <mergeCell ref="E76:E77"/>
    <mergeCell ref="A70:A71"/>
    <mergeCell ref="B70:B71"/>
    <mergeCell ref="C70:C71"/>
    <mergeCell ref="E21:E22"/>
    <mergeCell ref="A1:E1"/>
    <mergeCell ref="A3:E3"/>
    <mergeCell ref="C32:C33"/>
    <mergeCell ref="E32:E33"/>
    <mergeCell ref="E10:E12"/>
    <mergeCell ref="A2:E2"/>
    <mergeCell ref="A98:E98"/>
    <mergeCell ref="A99:A100"/>
    <mergeCell ref="B99:B100"/>
    <mergeCell ref="C99:C100"/>
    <mergeCell ref="E99:E10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1"/>
  <sheetViews>
    <sheetView workbookViewId="0">
      <selection activeCell="F16" sqref="F16"/>
    </sheetView>
  </sheetViews>
  <sheetFormatPr defaultRowHeight="15"/>
  <cols>
    <col min="1" max="1" width="7.7109375" style="365" customWidth="1"/>
    <col min="2" max="2" width="33.85546875" style="365" customWidth="1"/>
    <col min="3" max="3" width="12.28515625" style="871" customWidth="1"/>
    <col min="4" max="4" width="14.85546875" style="365" customWidth="1"/>
    <col min="5" max="5" width="15.28515625" style="365" customWidth="1"/>
    <col min="6" max="6" width="15.42578125" style="365" customWidth="1"/>
    <col min="7" max="7" width="13" style="365" customWidth="1"/>
    <col min="8" max="8" width="26.28515625" style="652" customWidth="1"/>
    <col min="9" max="10" width="13" style="652" customWidth="1"/>
    <col min="11" max="11" width="7.7109375" style="365" hidden="1" customWidth="1"/>
    <col min="12" max="12" width="33.85546875" style="365" hidden="1" customWidth="1"/>
    <col min="13" max="13" width="12.28515625" style="871" hidden="1" customWidth="1"/>
    <col min="14" max="14" width="14.85546875" style="365" hidden="1" customWidth="1"/>
    <col min="15" max="15" width="15.28515625" style="365" hidden="1" customWidth="1"/>
    <col min="16" max="16" width="15.42578125" style="365" hidden="1" customWidth="1"/>
    <col min="17" max="17" width="13" style="365" hidden="1" customWidth="1"/>
    <col min="18" max="18" width="26.28515625" style="652" hidden="1" customWidth="1"/>
    <col min="19" max="19" width="9.140625" style="365" hidden="1" customWidth="1"/>
    <col min="20" max="16384" width="9.140625" style="365"/>
  </cols>
  <sheetData>
    <row r="1" spans="1:18" ht="56.25" customHeight="1">
      <c r="A1" s="1455" t="s">
        <v>1885</v>
      </c>
      <c r="B1" s="1455"/>
      <c r="C1" s="1455"/>
      <c r="D1" s="1455"/>
      <c r="E1" s="1455"/>
      <c r="F1" s="1455"/>
      <c r="G1" s="1455"/>
      <c r="H1" s="1455"/>
      <c r="K1" s="1455" t="s">
        <v>1885</v>
      </c>
      <c r="L1" s="1455"/>
      <c r="M1" s="1455"/>
      <c r="N1" s="1455"/>
      <c r="O1" s="1455"/>
      <c r="P1" s="1455"/>
      <c r="Q1" s="1455"/>
      <c r="R1" s="1455"/>
    </row>
    <row r="2" spans="1:18" ht="15.75" customHeight="1">
      <c r="A2" s="1459" t="str">
        <f>Титульный!B10</f>
        <v xml:space="preserve"> </v>
      </c>
      <c r="B2" s="1459"/>
      <c r="C2" s="1459"/>
      <c r="D2" s="1459"/>
      <c r="E2" s="1459"/>
      <c r="F2" s="1459"/>
      <c r="G2" s="1459"/>
      <c r="H2" s="1459"/>
      <c r="K2" s="1459" t="str">
        <f>A2</f>
        <v xml:space="preserve"> </v>
      </c>
      <c r="L2" s="1459"/>
      <c r="M2" s="1459"/>
      <c r="N2" s="1459"/>
      <c r="O2" s="1459"/>
      <c r="P2" s="1459"/>
      <c r="Q2" s="1459"/>
      <c r="R2" s="1459"/>
    </row>
    <row r="3" spans="1:18">
      <c r="A3" s="1441" t="str">
        <f>Титульный!B21</f>
        <v/>
      </c>
      <c r="B3" s="1441"/>
      <c r="C3" s="1441"/>
      <c r="D3" s="1441"/>
      <c r="E3" s="1441"/>
      <c r="F3" s="1441"/>
      <c r="G3" s="1441"/>
      <c r="H3" s="1441"/>
      <c r="K3" s="1441" t="str">
        <f>A3</f>
        <v/>
      </c>
      <c r="L3" s="1441"/>
      <c r="M3" s="1441"/>
      <c r="N3" s="1441"/>
      <c r="O3" s="1441"/>
      <c r="P3" s="1441"/>
      <c r="Q3" s="1441"/>
      <c r="R3" s="1441"/>
    </row>
    <row r="4" spans="1:18">
      <c r="A4" s="371"/>
      <c r="B4" s="372"/>
      <c r="C4" s="887"/>
      <c r="D4" s="372"/>
      <c r="E4" s="372"/>
      <c r="F4" s="372"/>
      <c r="G4" s="372"/>
      <c r="H4" s="1182"/>
      <c r="K4" s="371"/>
      <c r="L4" s="372"/>
      <c r="M4" s="887"/>
      <c r="N4" s="372"/>
      <c r="O4" s="372"/>
      <c r="P4" s="372"/>
      <c r="Q4" s="372"/>
      <c r="R4" s="1182"/>
    </row>
    <row r="5" spans="1:18">
      <c r="A5" s="371" t="s">
        <v>199</v>
      </c>
      <c r="B5" s="373">
        <f>Титульный!B6</f>
        <v>0</v>
      </c>
      <c r="C5" s="887"/>
      <c r="D5" s="894" t="s">
        <v>200</v>
      </c>
      <c r="E5" s="888">
        <f>Титульный!B7</f>
        <v>0</v>
      </c>
      <c r="F5" s="372"/>
      <c r="G5" s="372"/>
      <c r="H5" s="1182"/>
      <c r="K5" s="371" t="s">
        <v>199</v>
      </c>
      <c r="L5" s="895">
        <f>B5</f>
        <v>0</v>
      </c>
      <c r="M5" s="887"/>
      <c r="N5" s="894" t="s">
        <v>200</v>
      </c>
      <c r="O5" s="895">
        <f>E5</f>
        <v>0</v>
      </c>
      <c r="P5" s="372"/>
      <c r="Q5" s="372"/>
      <c r="R5" s="1182"/>
    </row>
    <row r="6" spans="1:18">
      <c r="A6" s="371"/>
      <c r="B6" s="373"/>
      <c r="C6" s="1092"/>
      <c r="D6" s="371"/>
      <c r="E6" s="372"/>
      <c r="F6" s="372"/>
      <c r="G6" s="372"/>
      <c r="H6" s="1182"/>
      <c r="K6" s="371"/>
      <c r="L6" s="373"/>
      <c r="M6" s="1092"/>
      <c r="N6" s="371"/>
      <c r="O6" s="372"/>
      <c r="P6" s="372"/>
      <c r="Q6" s="372"/>
      <c r="R6" s="1182"/>
    </row>
    <row r="7" spans="1:18" s="652" customFormat="1">
      <c r="A7" s="873"/>
      <c r="B7" s="874"/>
      <c r="C7" s="889"/>
      <c r="D7" s="874"/>
      <c r="E7" s="874"/>
      <c r="F7" s="874"/>
      <c r="G7" s="874"/>
      <c r="H7" s="874"/>
      <c r="I7" s="1220"/>
      <c r="J7" s="1220"/>
      <c r="K7" s="873"/>
      <c r="L7" s="874"/>
      <c r="M7" s="889"/>
      <c r="N7" s="874"/>
      <c r="O7" s="874"/>
      <c r="P7" s="874"/>
      <c r="Q7" s="874"/>
      <c r="R7" s="874"/>
    </row>
    <row r="8" spans="1:18" s="652" customFormat="1" ht="15.75">
      <c r="A8" s="1474" t="s">
        <v>183</v>
      </c>
      <c r="B8" s="1474" t="s">
        <v>467</v>
      </c>
      <c r="C8" s="1474" t="s">
        <v>522</v>
      </c>
      <c r="D8" s="1472" t="s">
        <v>1887</v>
      </c>
      <c r="E8" s="1476" t="s">
        <v>1886</v>
      </c>
      <c r="F8" s="1477"/>
      <c r="G8" s="1478"/>
      <c r="H8" s="1470" t="s">
        <v>459</v>
      </c>
      <c r="I8" s="1221"/>
      <c r="J8" s="1221"/>
      <c r="K8" s="1474" t="s">
        <v>183</v>
      </c>
      <c r="L8" s="1474" t="s">
        <v>467</v>
      </c>
      <c r="M8" s="1474" t="s">
        <v>522</v>
      </c>
      <c r="N8" s="1472" t="s">
        <v>1887</v>
      </c>
      <c r="O8" s="1476" t="s">
        <v>1886</v>
      </c>
      <c r="P8" s="1477"/>
      <c r="Q8" s="1478"/>
      <c r="R8" s="1470" t="s">
        <v>459</v>
      </c>
    </row>
    <row r="9" spans="1:18" s="652" customFormat="1" ht="42.75" customHeight="1">
      <c r="A9" s="1475"/>
      <c r="B9" s="1475"/>
      <c r="C9" s="1475"/>
      <c r="D9" s="1473"/>
      <c r="E9" s="885" t="s">
        <v>1009</v>
      </c>
      <c r="F9" s="885" t="s">
        <v>221</v>
      </c>
      <c r="G9" s="885" t="s">
        <v>1010</v>
      </c>
      <c r="H9" s="1470"/>
      <c r="I9" s="1221"/>
      <c r="J9" s="1221"/>
      <c r="K9" s="1475"/>
      <c r="L9" s="1475"/>
      <c r="M9" s="1475"/>
      <c r="N9" s="1473"/>
      <c r="O9" s="885" t="s">
        <v>1009</v>
      </c>
      <c r="P9" s="885" t="s">
        <v>221</v>
      </c>
      <c r="Q9" s="885" t="s">
        <v>1010</v>
      </c>
      <c r="R9" s="1470"/>
    </row>
    <row r="10" spans="1:18" s="652" customFormat="1">
      <c r="A10" s="893" t="s">
        <v>222</v>
      </c>
      <c r="B10" s="892" t="s">
        <v>524</v>
      </c>
      <c r="C10" s="890"/>
      <c r="D10" s="890"/>
      <c r="E10" s="890"/>
      <c r="F10" s="890"/>
      <c r="G10" s="890"/>
      <c r="H10" s="891"/>
      <c r="I10" s="1222"/>
      <c r="J10" s="1222"/>
      <c r="K10" s="893" t="s">
        <v>222</v>
      </c>
      <c r="L10" s="892" t="s">
        <v>524</v>
      </c>
      <c r="M10" s="890"/>
      <c r="N10" s="890"/>
      <c r="O10" s="890"/>
      <c r="P10" s="890"/>
      <c r="Q10" s="890"/>
      <c r="R10" s="891"/>
    </row>
    <row r="11" spans="1:18" s="652" customFormat="1" ht="162" customHeight="1">
      <c r="A11" s="882" t="s">
        <v>224</v>
      </c>
      <c r="B11" s="883" t="s">
        <v>525</v>
      </c>
      <c r="C11" s="884" t="s">
        <v>246</v>
      </c>
      <c r="D11" s="1223"/>
      <c r="E11" s="1223"/>
      <c r="F11" s="1223"/>
      <c r="G11" s="886">
        <f>F11-E11</f>
        <v>0</v>
      </c>
      <c r="H11" s="1471" t="s">
        <v>1825</v>
      </c>
      <c r="I11" s="1224"/>
      <c r="J11" s="1224"/>
      <c r="K11" s="882" t="s">
        <v>224</v>
      </c>
      <c r="L11" s="883" t="s">
        <v>525</v>
      </c>
      <c r="M11" s="884" t="s">
        <v>246</v>
      </c>
      <c r="N11" s="1225"/>
      <c r="O11" s="886">
        <f>отчетПП!F37</f>
        <v>0</v>
      </c>
      <c r="P11" s="886">
        <f>отчетПП!G37</f>
        <v>0</v>
      </c>
      <c r="Q11" s="886">
        <f>P11-O11</f>
        <v>0</v>
      </c>
      <c r="R11" s="1471" t="s">
        <v>1825</v>
      </c>
    </row>
    <row r="12" spans="1:18" s="652" customFormat="1" ht="154.5" customHeight="1">
      <c r="A12" s="882" t="s">
        <v>226</v>
      </c>
      <c r="B12" s="883" t="s">
        <v>526</v>
      </c>
      <c r="C12" s="884" t="s">
        <v>246</v>
      </c>
      <c r="D12" s="1223"/>
      <c r="E12" s="1223"/>
      <c r="F12" s="1223"/>
      <c r="G12" s="886">
        <f>F12-E12</f>
        <v>0</v>
      </c>
      <c r="H12" s="1471"/>
      <c r="I12" s="1224"/>
      <c r="J12" s="1224"/>
      <c r="K12" s="882" t="s">
        <v>226</v>
      </c>
      <c r="L12" s="883" t="s">
        <v>526</v>
      </c>
      <c r="M12" s="884" t="s">
        <v>246</v>
      </c>
      <c r="N12" s="1225"/>
      <c r="O12" s="886">
        <f>отчетПП!F38</f>
        <v>0</v>
      </c>
      <c r="P12" s="886">
        <f>отчетПП!G38</f>
        <v>0</v>
      </c>
      <c r="Q12" s="886">
        <f>P12-O12</f>
        <v>0</v>
      </c>
      <c r="R12" s="1471"/>
    </row>
    <row r="13" spans="1:18" s="652" customFormat="1">
      <c r="A13" s="893" t="s">
        <v>228</v>
      </c>
      <c r="B13" s="892" t="s">
        <v>527</v>
      </c>
      <c r="C13" s="875"/>
      <c r="D13" s="875"/>
      <c r="E13" s="875"/>
      <c r="F13" s="875"/>
      <c r="G13" s="875"/>
      <c r="H13" s="876"/>
      <c r="I13" s="1222"/>
      <c r="J13" s="1222"/>
      <c r="K13" s="893" t="s">
        <v>228</v>
      </c>
      <c r="L13" s="892" t="s">
        <v>527</v>
      </c>
      <c r="M13" s="875"/>
      <c r="N13" s="875"/>
      <c r="O13" s="875"/>
      <c r="P13" s="875"/>
      <c r="Q13" s="875"/>
      <c r="R13" s="876"/>
    </row>
    <row r="14" spans="1:18" s="652" customFormat="1" ht="80.25" customHeight="1">
      <c r="A14" s="879" t="s">
        <v>228</v>
      </c>
      <c r="B14" s="883" t="s">
        <v>528</v>
      </c>
      <c r="C14" s="884" t="s">
        <v>529</v>
      </c>
      <c r="D14" s="1223"/>
      <c r="E14" s="1223"/>
      <c r="F14" s="1223"/>
      <c r="G14" s="886">
        <f>F14-E14</f>
        <v>0</v>
      </c>
      <c r="H14" s="881" t="s">
        <v>1825</v>
      </c>
      <c r="I14" s="1224"/>
      <c r="J14" s="1224"/>
      <c r="K14" s="879" t="s">
        <v>228</v>
      </c>
      <c r="L14" s="883" t="s">
        <v>528</v>
      </c>
      <c r="M14" s="884" t="s">
        <v>529</v>
      </c>
      <c r="N14" s="1225"/>
      <c r="O14" s="886">
        <f>отчетПП!F40</f>
        <v>0</v>
      </c>
      <c r="P14" s="886">
        <f>отчетПП!G40</f>
        <v>0</v>
      </c>
      <c r="Q14" s="886">
        <f>P14-O14</f>
        <v>0</v>
      </c>
      <c r="R14" s="881" t="s">
        <v>1825</v>
      </c>
    </row>
    <row r="15" spans="1:18" s="652" customFormat="1" ht="31.5">
      <c r="A15" s="879" t="s">
        <v>230</v>
      </c>
      <c r="B15" s="883" t="s">
        <v>1888</v>
      </c>
      <c r="C15" s="884" t="s">
        <v>310</v>
      </c>
      <c r="D15" s="886">
        <f>D11+D12+D14</f>
        <v>0</v>
      </c>
      <c r="E15" s="886"/>
      <c r="F15" s="886">
        <f>IF(F11=0,1,MIN(1,E11/F11))*D11+IF(F12=0,1,MIN(1,E12/F12))*D12+IF(F14=0,1,MIN(1,E14/F14))*D14</f>
        <v>0</v>
      </c>
      <c r="G15" s="886"/>
      <c r="H15" s="881"/>
      <c r="K15" s="879" t="s">
        <v>230</v>
      </c>
      <c r="L15" s="883" t="s">
        <v>1888</v>
      </c>
      <c r="M15" s="884" t="s">
        <v>310</v>
      </c>
      <c r="N15" s="886">
        <f>N11+N12+N14</f>
        <v>0</v>
      </c>
      <c r="O15" s="886"/>
      <c r="P15" s="886">
        <f>IF(P11=0,,MIN(1,O11/P11))*N11+IF(P12=0,,MIN(1,O12/P12))*N12+IF(P14=0,,MIN(1,O14/P14))*N14</f>
        <v>0</v>
      </c>
      <c r="Q15" s="886"/>
      <c r="R15" s="881"/>
    </row>
    <row r="16" spans="1:18" ht="47.25">
      <c r="A16" s="879" t="s">
        <v>230</v>
      </c>
      <c r="B16" s="883" t="s">
        <v>1889</v>
      </c>
      <c r="C16" s="884" t="s">
        <v>420</v>
      </c>
      <c r="D16" s="884"/>
      <c r="E16" s="1223"/>
      <c r="F16" s="886"/>
      <c r="G16" s="886"/>
      <c r="H16" s="881"/>
      <c r="K16" s="879" t="s">
        <v>230</v>
      </c>
      <c r="L16" s="883" t="s">
        <v>1889</v>
      </c>
      <c r="M16" s="884" t="s">
        <v>420</v>
      </c>
      <c r="N16" s="884"/>
      <c r="O16" s="886">
        <f>'НВВ базовый расчет'!D72</f>
        <v>0</v>
      </c>
      <c r="P16" s="886"/>
      <c r="Q16" s="886"/>
      <c r="R16" s="881"/>
    </row>
    <row r="17" spans="1:18" ht="18.75">
      <c r="A17" s="879" t="s">
        <v>238</v>
      </c>
      <c r="B17" s="883" t="s">
        <v>1890</v>
      </c>
      <c r="C17" s="884" t="s">
        <v>310</v>
      </c>
      <c r="D17" s="884"/>
      <c r="E17" s="886"/>
      <c r="F17" s="1223"/>
      <c r="G17" s="886"/>
      <c r="H17" s="881"/>
      <c r="K17" s="879" t="s">
        <v>238</v>
      </c>
      <c r="L17" s="883" t="s">
        <v>1890</v>
      </c>
      <c r="M17" s="884" t="s">
        <v>310</v>
      </c>
      <c r="N17" s="884"/>
      <c r="O17" s="886"/>
      <c r="P17" s="886">
        <f>ИПЦ_среднегод_2017</f>
        <v>0</v>
      </c>
      <c r="Q17" s="886"/>
      <c r="R17" s="881"/>
    </row>
    <row r="18" spans="1:18" ht="18.75">
      <c r="A18" s="879" t="s">
        <v>241</v>
      </c>
      <c r="B18" s="883" t="s">
        <v>1891</v>
      </c>
      <c r="C18" s="884" t="s">
        <v>310</v>
      </c>
      <c r="D18" s="884"/>
      <c r="E18" s="886"/>
      <c r="F18" s="1223"/>
      <c r="G18" s="886"/>
      <c r="H18" s="881"/>
      <c r="K18" s="879" t="s">
        <v>241</v>
      </c>
      <c r="L18" s="883" t="s">
        <v>1891</v>
      </c>
      <c r="M18" s="884" t="s">
        <v>310</v>
      </c>
      <c r="N18" s="884"/>
      <c r="O18" s="886"/>
      <c r="P18" s="886">
        <f>ИПЦ_среднегод_2018</f>
        <v>0</v>
      </c>
      <c r="Q18" s="886"/>
      <c r="R18" s="881"/>
    </row>
    <row r="19" spans="1:18" ht="110.25">
      <c r="A19" s="879" t="s">
        <v>243</v>
      </c>
      <c r="B19" s="883" t="s">
        <v>1892</v>
      </c>
      <c r="C19" s="884" t="s">
        <v>420</v>
      </c>
      <c r="D19" s="884"/>
      <c r="E19" s="886"/>
      <c r="F19" s="886">
        <f>-MIN((1-F15),3/100)*E16*F17*F18</f>
        <v>0</v>
      </c>
      <c r="G19" s="886"/>
      <c r="H19" s="881"/>
      <c r="K19" s="879" t="s">
        <v>243</v>
      </c>
      <c r="L19" s="883" t="s">
        <v>1892</v>
      </c>
      <c r="M19" s="884" t="s">
        <v>420</v>
      </c>
      <c r="N19" s="884"/>
      <c r="O19" s="886"/>
      <c r="P19" s="886">
        <f>-MIN((1-P15),3/100)*O16*P17*P18</f>
        <v>0</v>
      </c>
      <c r="Q19" s="886"/>
      <c r="R19" s="881"/>
    </row>
    <row r="21" spans="1:18">
      <c r="A21" s="372" t="s">
        <v>1997</v>
      </c>
      <c r="K21" s="372" t="s">
        <v>1997</v>
      </c>
      <c r="L21" s="372"/>
      <c r="M21" s="887"/>
      <c r="N21" s="372"/>
      <c r="O21" s="372"/>
      <c r="P21" s="372"/>
      <c r="Q21" s="372"/>
      <c r="R21" s="1182"/>
    </row>
  </sheetData>
  <sheetProtection password="F66E" sheet="1" objects="1" scenarios="1" formatCells="0" formatColumns="0" formatRows="0"/>
  <mergeCells count="20">
    <mergeCell ref="A1:H1"/>
    <mergeCell ref="A2:H2"/>
    <mergeCell ref="R11:R12"/>
    <mergeCell ref="A3:H3"/>
    <mergeCell ref="K1:R1"/>
    <mergeCell ref="K2:R2"/>
    <mergeCell ref="K3:R3"/>
    <mergeCell ref="K8:K9"/>
    <mergeCell ref="L8:L9"/>
    <mergeCell ref="M8:M9"/>
    <mergeCell ref="N8:N9"/>
    <mergeCell ref="O8:Q8"/>
    <mergeCell ref="R8:R9"/>
    <mergeCell ref="E8:G8"/>
    <mergeCell ref="H8:H9"/>
    <mergeCell ref="H11:H12"/>
    <mergeCell ref="D8:D9"/>
    <mergeCell ref="A8:A9"/>
    <mergeCell ref="B8:B9"/>
    <mergeCell ref="C8:C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5"/>
  <sheetViews>
    <sheetView workbookViewId="0">
      <selection activeCell="E5" sqref="E5"/>
    </sheetView>
  </sheetViews>
  <sheetFormatPr defaultRowHeight="15"/>
  <cols>
    <col min="1" max="1" width="7.7109375" style="365" customWidth="1"/>
    <col min="2" max="2" width="49" style="365" customWidth="1"/>
    <col min="3" max="3" width="12.28515625" style="871" customWidth="1"/>
    <col min="4" max="4" width="15.28515625" style="365" customWidth="1"/>
    <col min="5" max="5" width="15.42578125" style="365" customWidth="1"/>
    <col min="6" max="6" width="13" style="365" customWidth="1"/>
    <col min="7" max="7" width="26.28515625" style="652" customWidth="1"/>
    <col min="8" max="9" width="13" style="652" customWidth="1"/>
    <col min="10" max="10" width="7.7109375" style="365" hidden="1" customWidth="1"/>
    <col min="11" max="11" width="33.85546875" style="365" hidden="1" customWidth="1"/>
    <col min="12" max="12" width="12.28515625" style="871" hidden="1" customWidth="1"/>
    <col min="13" max="13" width="14.85546875" style="365" hidden="1" customWidth="1"/>
    <col min="14" max="14" width="15.28515625" style="365" hidden="1" customWidth="1"/>
    <col min="15" max="15" width="15.42578125" style="365" hidden="1" customWidth="1"/>
    <col min="16" max="16" width="31.42578125" style="365" hidden="1" customWidth="1"/>
    <col min="17" max="16384" width="9.140625" style="365"/>
  </cols>
  <sheetData>
    <row r="1" spans="1:16" ht="56.25" customHeight="1">
      <c r="A1" s="1455" t="s">
        <v>1893</v>
      </c>
      <c r="B1" s="1455"/>
      <c r="C1" s="1455"/>
      <c r="D1" s="1455"/>
      <c r="E1" s="1455"/>
      <c r="F1" s="1455"/>
      <c r="G1" s="1455"/>
      <c r="J1" s="1455" t="s">
        <v>1893</v>
      </c>
      <c r="K1" s="1455"/>
      <c r="L1" s="1455"/>
      <c r="M1" s="1455"/>
      <c r="N1" s="1455"/>
      <c r="O1" s="1455"/>
      <c r="P1" s="1455"/>
    </row>
    <row r="2" spans="1:16" ht="15.75" customHeight="1">
      <c r="A2" s="1459" t="str">
        <f>Титульный!B10</f>
        <v xml:space="preserve"> </v>
      </c>
      <c r="B2" s="1459"/>
      <c r="C2" s="1459"/>
      <c r="D2" s="1459"/>
      <c r="E2" s="1459"/>
      <c r="F2" s="1459"/>
      <c r="G2" s="1459"/>
      <c r="J2" s="1459" t="str">
        <f>A2</f>
        <v xml:space="preserve"> </v>
      </c>
      <c r="K2" s="1459"/>
      <c r="L2" s="1459"/>
      <c r="M2" s="1459"/>
      <c r="N2" s="1459"/>
      <c r="O2" s="1459"/>
      <c r="P2" s="1459"/>
    </row>
    <row r="3" spans="1:16">
      <c r="A3" s="1441" t="str">
        <f>Титульный!B21</f>
        <v/>
      </c>
      <c r="B3" s="1441"/>
      <c r="C3" s="1441"/>
      <c r="D3" s="1441"/>
      <c r="E3" s="1441"/>
      <c r="F3" s="1441"/>
      <c r="G3" s="1441"/>
      <c r="J3" s="1441" t="str">
        <f>A3</f>
        <v/>
      </c>
      <c r="K3" s="1441"/>
      <c r="L3" s="1441"/>
      <c r="M3" s="1441"/>
      <c r="N3" s="1441"/>
      <c r="O3" s="1441"/>
      <c r="P3" s="1441"/>
    </row>
    <row r="4" spans="1:16">
      <c r="A4" s="371"/>
      <c r="B4" s="372"/>
      <c r="C4" s="887"/>
      <c r="D4" s="372"/>
      <c r="E4" s="372"/>
      <c r="F4" s="372"/>
      <c r="G4" s="1182"/>
      <c r="J4" s="371"/>
      <c r="K4" s="372"/>
      <c r="L4" s="887"/>
      <c r="M4" s="372"/>
      <c r="N4" s="372"/>
      <c r="O4" s="372"/>
      <c r="P4" s="372"/>
    </row>
    <row r="5" spans="1:16">
      <c r="A5" s="371" t="s">
        <v>199</v>
      </c>
      <c r="B5" s="373">
        <f>Титульный!B6</f>
        <v>0</v>
      </c>
      <c r="C5" s="887"/>
      <c r="D5" s="894" t="s">
        <v>200</v>
      </c>
      <c r="E5" s="1363">
        <f>Титульный!B7</f>
        <v>0</v>
      </c>
      <c r="F5" s="372"/>
      <c r="G5" s="1182"/>
      <c r="J5" s="371" t="s">
        <v>199</v>
      </c>
      <c r="K5" s="895">
        <f>B5</f>
        <v>0</v>
      </c>
      <c r="L5" s="887"/>
      <c r="M5" s="894" t="s">
        <v>200</v>
      </c>
      <c r="N5" s="895">
        <f>E5</f>
        <v>0</v>
      </c>
      <c r="O5" s="372"/>
      <c r="P5" s="372"/>
    </row>
    <row r="6" spans="1:16">
      <c r="A6" s="371"/>
      <c r="B6" s="373"/>
      <c r="C6" s="1092"/>
      <c r="D6" s="372"/>
      <c r="E6" s="372"/>
      <c r="F6" s="372"/>
      <c r="G6" s="1182"/>
      <c r="J6" s="371"/>
      <c r="K6" s="373"/>
      <c r="L6" s="1092"/>
      <c r="M6" s="371"/>
      <c r="N6" s="372"/>
      <c r="O6" s="372"/>
      <c r="P6" s="372"/>
    </row>
    <row r="7" spans="1:16" s="652" customFormat="1">
      <c r="A7" s="873"/>
      <c r="B7" s="874"/>
      <c r="C7" s="889"/>
      <c r="D7" s="874"/>
      <c r="E7" s="874"/>
      <c r="F7" s="874"/>
      <c r="G7" s="874"/>
      <c r="H7" s="1220"/>
      <c r="I7" s="1220"/>
      <c r="J7" s="873"/>
      <c r="K7" s="874"/>
      <c r="L7" s="889"/>
      <c r="M7" s="874"/>
      <c r="N7" s="874"/>
      <c r="O7" s="874"/>
      <c r="P7" s="874"/>
    </row>
    <row r="8" spans="1:16" s="652" customFormat="1" ht="15.75" customHeight="1">
      <c r="A8" s="1474" t="s">
        <v>183</v>
      </c>
      <c r="B8" s="1474" t="s">
        <v>467</v>
      </c>
      <c r="C8" s="1474" t="s">
        <v>522</v>
      </c>
      <c r="D8" s="1476" t="s">
        <v>1886</v>
      </c>
      <c r="E8" s="1477"/>
      <c r="F8" s="1478"/>
      <c r="G8" s="1470" t="s">
        <v>459</v>
      </c>
      <c r="H8" s="1221"/>
      <c r="I8" s="1221"/>
      <c r="J8" s="1474" t="s">
        <v>183</v>
      </c>
      <c r="K8" s="1474" t="s">
        <v>467</v>
      </c>
      <c r="L8" s="1474" t="s">
        <v>522</v>
      </c>
      <c r="M8" s="1476" t="s">
        <v>1886</v>
      </c>
      <c r="N8" s="1477"/>
      <c r="O8" s="1478"/>
      <c r="P8" s="1474" t="s">
        <v>459</v>
      </c>
    </row>
    <row r="9" spans="1:16" s="652" customFormat="1" ht="42.75" customHeight="1">
      <c r="A9" s="1475"/>
      <c r="B9" s="1475"/>
      <c r="C9" s="1475"/>
      <c r="D9" s="885" t="s">
        <v>1009</v>
      </c>
      <c r="E9" s="885" t="s">
        <v>221</v>
      </c>
      <c r="F9" s="885" t="s">
        <v>1010</v>
      </c>
      <c r="G9" s="1470"/>
      <c r="H9" s="1221"/>
      <c r="I9" s="1221"/>
      <c r="J9" s="1475"/>
      <c r="K9" s="1475"/>
      <c r="L9" s="1475"/>
      <c r="M9" s="885" t="s">
        <v>1009</v>
      </c>
      <c r="N9" s="885" t="s">
        <v>221</v>
      </c>
      <c r="O9" s="885" t="s">
        <v>1010</v>
      </c>
      <c r="P9" s="1475"/>
    </row>
    <row r="10" spans="1:16" s="652" customFormat="1" ht="45">
      <c r="A10" s="893" t="s">
        <v>222</v>
      </c>
      <c r="B10" s="880" t="s">
        <v>1894</v>
      </c>
      <c r="C10" s="884" t="s">
        <v>420</v>
      </c>
      <c r="D10" s="897">
        <f>D11+D12</f>
        <v>0</v>
      </c>
      <c r="E10" s="897">
        <f>E11+E12</f>
        <v>0</v>
      </c>
      <c r="F10" s="886">
        <f>E10-D10</f>
        <v>0</v>
      </c>
      <c r="G10" s="896"/>
      <c r="H10" s="1222"/>
      <c r="I10" s="1222"/>
      <c r="J10" s="893" t="s">
        <v>222</v>
      </c>
      <c r="K10" s="880" t="s">
        <v>1894</v>
      </c>
      <c r="L10" s="884" t="s">
        <v>420</v>
      </c>
      <c r="M10" s="897">
        <f>M11+M12</f>
        <v>0</v>
      </c>
      <c r="N10" s="897">
        <f>N11+N12</f>
        <v>0</v>
      </c>
      <c r="O10" s="886">
        <f>N10-M10</f>
        <v>0</v>
      </c>
      <c r="P10" s="896"/>
    </row>
    <row r="11" spans="1:16" s="652" customFormat="1" ht="15.75" customHeight="1">
      <c r="A11" s="882" t="s">
        <v>224</v>
      </c>
      <c r="B11" s="883" t="s">
        <v>1895</v>
      </c>
      <c r="C11" s="884" t="s">
        <v>420</v>
      </c>
      <c r="D11" s="1223"/>
      <c r="E11" s="1223"/>
      <c r="F11" s="886">
        <f>E11-D11</f>
        <v>0</v>
      </c>
      <c r="G11" s="1471" t="s">
        <v>1897</v>
      </c>
      <c r="H11" s="1224"/>
      <c r="I11" s="1224"/>
      <c r="J11" s="882" t="s">
        <v>224</v>
      </c>
      <c r="K11" s="883" t="s">
        <v>1895</v>
      </c>
      <c r="L11" s="884" t="s">
        <v>420</v>
      </c>
      <c r="M11" s="1226"/>
      <c r="N11" s="1226"/>
      <c r="O11" s="886">
        <f>N11-M11</f>
        <v>0</v>
      </c>
      <c r="P11" s="1479" t="s">
        <v>1900</v>
      </c>
    </row>
    <row r="12" spans="1:16" s="652" customFormat="1" ht="34.5" customHeight="1">
      <c r="A12" s="882" t="s">
        <v>226</v>
      </c>
      <c r="B12" s="883" t="s">
        <v>647</v>
      </c>
      <c r="C12" s="884" t="s">
        <v>420</v>
      </c>
      <c r="D12" s="1223"/>
      <c r="E12" s="1223"/>
      <c r="F12" s="886">
        <f>E12-D12</f>
        <v>0</v>
      </c>
      <c r="G12" s="1471"/>
      <c r="H12" s="1224"/>
      <c r="I12" s="1224"/>
      <c r="J12" s="882" t="s">
        <v>226</v>
      </c>
      <c r="K12" s="883" t="s">
        <v>647</v>
      </c>
      <c r="L12" s="884" t="s">
        <v>420</v>
      </c>
      <c r="M12" s="1226"/>
      <c r="N12" s="1226"/>
      <c r="O12" s="886">
        <f>N12-M12</f>
        <v>0</v>
      </c>
      <c r="P12" s="1458"/>
    </row>
    <row r="13" spans="1:16" s="652" customFormat="1" ht="60">
      <c r="A13" s="893" t="s">
        <v>228</v>
      </c>
      <c r="B13" s="880" t="s">
        <v>1896</v>
      </c>
      <c r="C13" s="884" t="s">
        <v>420</v>
      </c>
      <c r="D13" s="1223"/>
      <c r="E13" s="1223"/>
      <c r="F13" s="877"/>
      <c r="G13" s="881" t="s">
        <v>1898</v>
      </c>
      <c r="H13" s="1222"/>
      <c r="I13" s="1222"/>
      <c r="J13" s="893" t="s">
        <v>228</v>
      </c>
      <c r="K13" s="880" t="s">
        <v>1896</v>
      </c>
      <c r="L13" s="884" t="s">
        <v>420</v>
      </c>
      <c r="M13" s="1226"/>
      <c r="N13" s="1226"/>
      <c r="O13" s="877"/>
      <c r="P13" s="881"/>
    </row>
    <row r="14" spans="1:16" s="652" customFormat="1" ht="80.25" customHeight="1">
      <c r="A14" s="879" t="s">
        <v>230</v>
      </c>
      <c r="B14" s="883" t="s">
        <v>1899</v>
      </c>
      <c r="C14" s="884" t="s">
        <v>420</v>
      </c>
      <c r="D14" s="886"/>
      <c r="E14" s="886">
        <f>IF(D13=0,,E10*(E13/D13-1))</f>
        <v>0</v>
      </c>
      <c r="F14" s="886"/>
      <c r="G14" s="878"/>
      <c r="H14" s="1224"/>
      <c r="I14" s="1224"/>
      <c r="J14" s="879" t="s">
        <v>230</v>
      </c>
      <c r="K14" s="883" t="s">
        <v>1899</v>
      </c>
      <c r="L14" s="884" t="s">
        <v>420</v>
      </c>
      <c r="M14" s="886"/>
      <c r="N14" s="886">
        <f>IF(M13=0,,N10*(N13/M13-1))</f>
        <v>0</v>
      </c>
      <c r="O14" s="886"/>
      <c r="P14" s="878"/>
    </row>
    <row r="15" spans="1:16">
      <c r="P15" s="652"/>
    </row>
  </sheetData>
  <sheetProtection password="F66E" sheet="1" objects="1" scenarios="1" formatCells="0" formatColumns="0" formatRows="0"/>
  <mergeCells count="18">
    <mergeCell ref="A1:G1"/>
    <mergeCell ref="J1:P1"/>
    <mergeCell ref="A2:G2"/>
    <mergeCell ref="J2:P2"/>
    <mergeCell ref="A3:G3"/>
    <mergeCell ref="J3:P3"/>
    <mergeCell ref="A8:A9"/>
    <mergeCell ref="B8:B9"/>
    <mergeCell ref="C8:C9"/>
    <mergeCell ref="D8:F8"/>
    <mergeCell ref="G8:G9"/>
    <mergeCell ref="P11:P12"/>
    <mergeCell ref="P8:P9"/>
    <mergeCell ref="G11:G12"/>
    <mergeCell ref="M8:O8"/>
    <mergeCell ref="J8:J9"/>
    <mergeCell ref="K8:K9"/>
    <mergeCell ref="L8:L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8"/>
  <sheetViews>
    <sheetView topLeftCell="A4" workbookViewId="0">
      <selection activeCell="D10" sqref="D10"/>
    </sheetView>
  </sheetViews>
  <sheetFormatPr defaultRowHeight="15"/>
  <cols>
    <col min="1" max="1" width="7.7109375" style="365" customWidth="1"/>
    <col min="2" max="2" width="45.28515625" style="365" customWidth="1"/>
    <col min="3" max="3" width="10.7109375" style="365" customWidth="1"/>
    <col min="4" max="4" width="23.28515625" style="365" customWidth="1"/>
    <col min="5" max="5" width="53.28515625" style="365" customWidth="1"/>
    <col min="6" max="6" width="16.140625" style="365" customWidth="1"/>
    <col min="7" max="7" width="21.42578125" style="365" customWidth="1"/>
    <col min="8" max="9" width="9.140625" style="365"/>
    <col min="10" max="10" width="9.140625" style="365" hidden="1" customWidth="1"/>
    <col min="11" max="11" width="46.85546875" style="365" hidden="1" customWidth="1"/>
    <col min="12" max="12" width="12.140625" style="365" hidden="1" customWidth="1"/>
    <col min="13" max="13" width="15.140625" style="365" hidden="1" customWidth="1"/>
    <col min="14" max="14" width="17.42578125" style="365" hidden="1" customWidth="1"/>
    <col min="15" max="15" width="20" style="365" hidden="1" customWidth="1"/>
    <col min="16" max="16" width="17.5703125" style="365" hidden="1" customWidth="1"/>
    <col min="17" max="16384" width="9.140625" style="365"/>
  </cols>
  <sheetData>
    <row r="1" spans="1:15" ht="46.5" customHeight="1">
      <c r="A1" s="1455" t="s">
        <v>1788</v>
      </c>
      <c r="B1" s="1455"/>
      <c r="C1" s="1455"/>
      <c r="D1" s="1455"/>
      <c r="E1" s="1455"/>
      <c r="F1" s="1188"/>
      <c r="G1" s="1188"/>
      <c r="J1" s="1455" t="s">
        <v>1788</v>
      </c>
      <c r="K1" s="1455"/>
      <c r="L1" s="1455"/>
      <c r="M1" s="1455"/>
      <c r="N1" s="1455"/>
      <c r="O1" s="1455"/>
    </row>
    <row r="2" spans="1:15" ht="40.5" customHeight="1">
      <c r="A2" s="1480" t="str">
        <f>Титульный!B10</f>
        <v xml:space="preserve"> </v>
      </c>
      <c r="B2" s="1480"/>
      <c r="C2" s="1480"/>
      <c r="D2" s="1480"/>
      <c r="E2" s="1480"/>
      <c r="F2" s="1203"/>
      <c r="G2" s="1203"/>
      <c r="J2" s="1459" t="str">
        <f>A2</f>
        <v xml:space="preserve"> </v>
      </c>
      <c r="K2" s="1459"/>
      <c r="L2" s="1459"/>
      <c r="M2" s="1459"/>
      <c r="N2" s="1459"/>
      <c r="O2" s="1459"/>
    </row>
    <row r="3" spans="1:15" ht="28.5" customHeight="1">
      <c r="A3" s="1441" t="str">
        <f>Титульный!B21</f>
        <v/>
      </c>
      <c r="B3" s="1441"/>
      <c r="C3" s="1441"/>
      <c r="D3" s="1441"/>
      <c r="E3" s="1441"/>
      <c r="F3" s="1184"/>
      <c r="G3" s="1184"/>
      <c r="J3" s="1441" t="str">
        <f>A3</f>
        <v/>
      </c>
      <c r="K3" s="1441"/>
      <c r="L3" s="1441"/>
      <c r="M3" s="1441"/>
      <c r="N3" s="1441"/>
      <c r="O3" s="1441"/>
    </row>
    <row r="4" spans="1:15">
      <c r="A4" s="371"/>
      <c r="B4" s="372"/>
      <c r="C4" s="372"/>
      <c r="D4" s="372"/>
      <c r="E4" s="372"/>
      <c r="J4" s="372"/>
      <c r="K4" s="372"/>
      <c r="L4" s="372"/>
      <c r="M4" s="372"/>
      <c r="N4" s="372"/>
      <c r="O4" s="372"/>
    </row>
    <row r="5" spans="1:15">
      <c r="A5" s="371" t="s">
        <v>199</v>
      </c>
      <c r="B5" s="373">
        <f>Титульный!B6</f>
        <v>0</v>
      </c>
      <c r="C5" s="372"/>
      <c r="D5" s="371" t="s">
        <v>200</v>
      </c>
      <c r="E5" s="373">
        <f>Титульный!B7</f>
        <v>0</v>
      </c>
      <c r="J5" s="371" t="s">
        <v>199</v>
      </c>
      <c r="K5" s="895">
        <f>B5</f>
        <v>0</v>
      </c>
      <c r="L5" s="372"/>
      <c r="M5" s="371" t="s">
        <v>200</v>
      </c>
      <c r="N5" s="895">
        <f>E5</f>
        <v>0</v>
      </c>
      <c r="O5" s="372"/>
    </row>
    <row r="6" spans="1:15">
      <c r="A6" s="371"/>
      <c r="B6" s="373"/>
      <c r="C6" s="373"/>
      <c r="D6" s="372"/>
      <c r="E6" s="372"/>
      <c r="J6" s="372"/>
      <c r="K6" s="372"/>
      <c r="L6" s="372"/>
      <c r="M6" s="372"/>
      <c r="N6" s="372"/>
      <c r="O6" s="372"/>
    </row>
    <row r="7" spans="1:15" ht="24" customHeight="1">
      <c r="A7" s="1481" t="s">
        <v>183</v>
      </c>
      <c r="B7" s="1490" t="s">
        <v>308</v>
      </c>
      <c r="C7" s="1490" t="s">
        <v>936</v>
      </c>
      <c r="D7" s="1493" t="s">
        <v>1129</v>
      </c>
      <c r="E7" s="1481" t="s">
        <v>459</v>
      </c>
      <c r="J7" s="1481" t="s">
        <v>183</v>
      </c>
      <c r="K7" s="1481" t="s">
        <v>467</v>
      </c>
      <c r="L7" s="1487" t="s">
        <v>574</v>
      </c>
      <c r="M7" s="1484" t="s">
        <v>1129</v>
      </c>
      <c r="N7" s="1485"/>
      <c r="O7" s="1486"/>
    </row>
    <row r="8" spans="1:15" ht="37.5" customHeight="1">
      <c r="A8" s="1482"/>
      <c r="B8" s="1491"/>
      <c r="C8" s="1491"/>
      <c r="D8" s="1488"/>
      <c r="E8" s="1482"/>
      <c r="J8" s="1482"/>
      <c r="K8" s="1482"/>
      <c r="L8" s="1488"/>
      <c r="M8" s="1484" t="s">
        <v>1998</v>
      </c>
      <c r="N8" s="1485"/>
      <c r="O8" s="1486"/>
    </row>
    <row r="9" spans="1:15" ht="44.25" customHeight="1">
      <c r="A9" s="1483"/>
      <c r="B9" s="1492"/>
      <c r="C9" s="1492"/>
      <c r="D9" s="1489"/>
      <c r="E9" s="1483"/>
      <c r="J9" s="1483"/>
      <c r="K9" s="1483"/>
      <c r="L9" s="1489"/>
      <c r="M9" s="1105" t="s">
        <v>1800</v>
      </c>
      <c r="N9" s="1105" t="s">
        <v>1804</v>
      </c>
      <c r="O9" s="1105" t="s">
        <v>1024</v>
      </c>
    </row>
    <row r="10" spans="1:15" ht="60.75" customHeight="1">
      <c r="A10" s="374" t="s">
        <v>222</v>
      </c>
      <c r="B10" s="762" t="s">
        <v>1929</v>
      </c>
      <c r="C10" s="374" t="s">
        <v>420</v>
      </c>
      <c r="D10" s="1227"/>
      <c r="E10" s="795" t="s">
        <v>1999</v>
      </c>
      <c r="J10" s="374" t="s">
        <v>222</v>
      </c>
      <c r="K10" s="762" t="s">
        <v>1929</v>
      </c>
      <c r="L10" s="374" t="s">
        <v>420</v>
      </c>
      <c r="M10" s="376">
        <f>IF(Титульный!$B$17="2016-2018",НВВ2017!E11,'НВВ базовый расчет'!H10)</f>
        <v>0</v>
      </c>
      <c r="N10" s="376">
        <f>M10</f>
        <v>0</v>
      </c>
      <c r="O10" s="376" t="s">
        <v>480</v>
      </c>
    </row>
    <row r="11" spans="1:15" ht="43.5" customHeight="1">
      <c r="A11" s="377" t="s">
        <v>228</v>
      </c>
      <c r="B11" s="762" t="s">
        <v>638</v>
      </c>
      <c r="C11" s="374" t="s">
        <v>246</v>
      </c>
      <c r="D11" s="381">
        <f>'данные об организации'!I29</f>
        <v>1</v>
      </c>
      <c r="E11" s="795" t="s">
        <v>1930</v>
      </c>
      <c r="J11" s="377" t="s">
        <v>228</v>
      </c>
      <c r="K11" s="654" t="s">
        <v>638</v>
      </c>
      <c r="L11" s="374" t="s">
        <v>246</v>
      </c>
      <c r="M11" s="376">
        <v>1</v>
      </c>
      <c r="N11" s="381">
        <v>1</v>
      </c>
      <c r="O11" s="381" t="s">
        <v>480</v>
      </c>
    </row>
    <row r="12" spans="1:15" ht="15.75">
      <c r="A12" s="377" t="s">
        <v>230</v>
      </c>
      <c r="B12" s="762" t="s">
        <v>1901</v>
      </c>
      <c r="C12" s="374" t="s">
        <v>310</v>
      </c>
      <c r="D12" s="157"/>
      <c r="E12" s="1094"/>
      <c r="J12" s="377" t="s">
        <v>230</v>
      </c>
      <c r="K12" s="654" t="s">
        <v>639</v>
      </c>
      <c r="L12" s="374" t="s">
        <v>310</v>
      </c>
      <c r="M12" s="376">
        <f>IF(Титульный!$B$17="2016-2018",НВВ2017!E14,'НВВ базовый расчет'!H26)</f>
        <v>0</v>
      </c>
      <c r="N12" s="374">
        <f>ИПЦ_среднегод_2018</f>
        <v>0</v>
      </c>
      <c r="O12" s="374" t="s">
        <v>480</v>
      </c>
    </row>
    <row r="13" spans="1:15" ht="15.75">
      <c r="A13" s="377" t="s">
        <v>238</v>
      </c>
      <c r="B13" s="762" t="s">
        <v>640</v>
      </c>
      <c r="C13" s="374" t="s">
        <v>246</v>
      </c>
      <c r="D13" s="653">
        <f>IF(D10=0,0,IF(D12=0,0,0.75*D15/100*D14/100+D16/(D10*(1-D11/100)*D12)))</f>
        <v>0</v>
      </c>
      <c r="E13" s="367"/>
      <c r="J13" s="377" t="s">
        <v>238</v>
      </c>
      <c r="K13" s="654" t="s">
        <v>640</v>
      </c>
      <c r="L13" s="374" t="s">
        <v>246</v>
      </c>
      <c r="M13" s="376">
        <f>IF(Титульный!$B$17="2016-2018",НВВ2017!E15,'НВВ базовый расчет'!H27)</f>
        <v>0</v>
      </c>
      <c r="N13" s="653">
        <f>IF(N10=0,0,IF(N12=0,0,0.75*N15/100*N14/100+N16/(N10*(1-N11/100)*N12)))</f>
        <v>0</v>
      </c>
      <c r="O13" s="374" t="s">
        <v>480</v>
      </c>
    </row>
    <row r="14" spans="1:15" ht="15.75" customHeight="1">
      <c r="A14" s="175" t="s">
        <v>213</v>
      </c>
      <c r="B14" s="762" t="s">
        <v>935</v>
      </c>
      <c r="C14" s="374" t="s">
        <v>246</v>
      </c>
      <c r="D14" s="374">
        <f>'расчет у.е.'!F19</f>
        <v>0</v>
      </c>
      <c r="E14" s="367"/>
      <c r="J14" s="175" t="s">
        <v>213</v>
      </c>
      <c r="K14" s="654" t="s">
        <v>935</v>
      </c>
      <c r="L14" s="374" t="s">
        <v>246</v>
      </c>
      <c r="M14" s="376"/>
      <c r="N14" s="376">
        <f>'расчет у.е.'!P19</f>
        <v>0</v>
      </c>
      <c r="O14" s="374" t="s">
        <v>480</v>
      </c>
    </row>
    <row r="15" spans="1:15" ht="75.75" customHeight="1">
      <c r="A15" s="175" t="s">
        <v>214</v>
      </c>
      <c r="B15" s="762" t="s">
        <v>937</v>
      </c>
      <c r="C15" s="374" t="s">
        <v>246</v>
      </c>
      <c r="D15" s="368"/>
      <c r="E15" s="1094" t="s">
        <v>938</v>
      </c>
      <c r="J15" s="175" t="s">
        <v>214</v>
      </c>
      <c r="K15" s="655" t="s">
        <v>937</v>
      </c>
      <c r="L15" s="374" t="s">
        <v>246</v>
      </c>
      <c r="M15" s="374"/>
      <c r="N15" s="369"/>
      <c r="O15" s="374" t="s">
        <v>480</v>
      </c>
    </row>
    <row r="16" spans="1:15" ht="72" customHeight="1">
      <c r="A16" s="175" t="s">
        <v>215</v>
      </c>
      <c r="B16" s="762" t="s">
        <v>939</v>
      </c>
      <c r="C16" s="374" t="s">
        <v>420</v>
      </c>
      <c r="D16" s="368"/>
      <c r="E16" s="1094" t="s">
        <v>938</v>
      </c>
      <c r="J16" s="175" t="s">
        <v>215</v>
      </c>
      <c r="K16" s="654" t="s">
        <v>939</v>
      </c>
      <c r="L16" s="374" t="s">
        <v>420</v>
      </c>
      <c r="M16" s="374"/>
      <c r="N16" s="369"/>
      <c r="O16" s="374" t="s">
        <v>480</v>
      </c>
    </row>
    <row r="17" spans="1:15" ht="33.75" customHeight="1">
      <c r="A17" s="378" t="s">
        <v>611</v>
      </c>
      <c r="B17" s="783" t="s">
        <v>1982</v>
      </c>
      <c r="C17" s="378" t="s">
        <v>420</v>
      </c>
      <c r="D17" s="787">
        <f>D10*(1-D11/100)*D12*(1+D13)</f>
        <v>0</v>
      </c>
      <c r="E17" s="367"/>
      <c r="J17" s="378" t="s">
        <v>611</v>
      </c>
      <c r="K17" s="783" t="s">
        <v>1982</v>
      </c>
      <c r="L17" s="378" t="s">
        <v>420</v>
      </c>
      <c r="M17" s="787">
        <f>IF(Титульный!$B$17="2016-2018",'НВВ базовый расчет'!L9,'НВВ базовый расчет'!H9)</f>
        <v>0</v>
      </c>
      <c r="N17" s="787">
        <f>N10*(1-N11/100)*N12*(1+N13)</f>
        <v>0</v>
      </c>
      <c r="O17" s="787">
        <f>N17-M17</f>
        <v>0</v>
      </c>
    </row>
    <row r="18" spans="1:15">
      <c r="F18" s="1228"/>
      <c r="M18" s="1066">
        <f>IF(Титульный!B17="2016-2018",M10-НВВ2017!E11,M10-'НВВ базовый расчет'!D9)</f>
        <v>0</v>
      </c>
    </row>
  </sheetData>
  <sheetProtection password="F66E" sheet="1" objects="1" scenarios="1" formatCells="0" formatColumns="0" formatRows="0"/>
  <mergeCells count="16">
    <mergeCell ref="A7:A9"/>
    <mergeCell ref="B7:B9"/>
    <mergeCell ref="C7:C9"/>
    <mergeCell ref="E7:E9"/>
    <mergeCell ref="D7:D9"/>
    <mergeCell ref="J7:J9"/>
    <mergeCell ref="M7:O7"/>
    <mergeCell ref="K7:K9"/>
    <mergeCell ref="L7:L9"/>
    <mergeCell ref="M8:O8"/>
    <mergeCell ref="J1:O1"/>
    <mergeCell ref="J2:O2"/>
    <mergeCell ref="J3:O3"/>
    <mergeCell ref="A1:E1"/>
    <mergeCell ref="A2:E2"/>
    <mergeCell ref="A3:E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sheetPr>
  <dimension ref="A1:T64"/>
  <sheetViews>
    <sheetView workbookViewId="0">
      <selection activeCell="G17" sqref="G16:G17"/>
    </sheetView>
  </sheetViews>
  <sheetFormatPr defaultColWidth="7.7109375" defaultRowHeight="16.5" customHeight="1"/>
  <cols>
    <col min="1" max="1" width="8.5703125" style="36" customWidth="1"/>
    <col min="2" max="2" width="55.140625" style="36" customWidth="1"/>
    <col min="3" max="3" width="12.85546875" style="36" customWidth="1"/>
    <col min="4" max="4" width="17.42578125" style="36" customWidth="1"/>
    <col min="5" max="5" width="14.5703125" style="36" customWidth="1"/>
    <col min="6" max="6" width="16.42578125" style="36" customWidth="1"/>
    <col min="7" max="7" width="15.42578125" style="36" customWidth="1"/>
    <col min="8" max="8" width="14.85546875" style="36" customWidth="1"/>
    <col min="9" max="12" width="7.7109375" style="36"/>
    <col min="13" max="13" width="8.5703125" style="36" hidden="1" customWidth="1"/>
    <col min="14" max="14" width="55.140625" style="36" hidden="1" customWidth="1"/>
    <col min="15" max="15" width="12.85546875" style="36" hidden="1" customWidth="1"/>
    <col min="16" max="16" width="21.140625" style="36" hidden="1" customWidth="1"/>
    <col min="17" max="17" width="15.5703125" style="36" hidden="1" customWidth="1"/>
    <col min="18" max="18" width="16" style="36" hidden="1" customWidth="1"/>
    <col min="19" max="19" width="13.28515625" style="36" hidden="1" customWidth="1"/>
    <col min="20" max="20" width="15.28515625" style="36" customWidth="1"/>
    <col min="21" max="16384" width="7.7109375" style="36"/>
  </cols>
  <sheetData>
    <row r="1" spans="1:19" s="31" customFormat="1" ht="16.5" customHeight="1">
      <c r="A1" s="1495" t="s">
        <v>1789</v>
      </c>
      <c r="B1" s="1495"/>
      <c r="C1" s="1495"/>
      <c r="D1" s="1495"/>
      <c r="E1" s="1495"/>
      <c r="F1" s="1495"/>
      <c r="G1" s="1235"/>
      <c r="H1" s="1235"/>
      <c r="M1" s="1495" t="s">
        <v>1658</v>
      </c>
      <c r="N1" s="1495"/>
      <c r="O1" s="1495"/>
      <c r="P1" s="1495"/>
      <c r="Q1" s="1495"/>
      <c r="R1" s="1495"/>
      <c r="S1" s="1235"/>
    </row>
    <row r="2" spans="1:19" s="31" customFormat="1" ht="16.5" customHeight="1">
      <c r="A2" s="1238"/>
      <c r="B2" s="1238"/>
      <c r="C2" s="1238"/>
      <c r="D2" s="1238"/>
      <c r="E2" s="1238"/>
      <c r="F2" s="1238"/>
      <c r="G2" s="1237"/>
      <c r="H2" s="1237"/>
      <c r="M2" s="1238"/>
      <c r="N2" s="1238"/>
      <c r="O2" s="1238"/>
      <c r="P2" s="1238"/>
      <c r="Q2" s="1238"/>
      <c r="R2" s="1238"/>
      <c r="S2" s="1237"/>
    </row>
    <row r="3" spans="1:19" s="32" customFormat="1" ht="16.5" customHeight="1">
      <c r="A3" s="1494" t="str">
        <f>Титульный!B10</f>
        <v xml:space="preserve"> </v>
      </c>
      <c r="B3" s="1494"/>
      <c r="C3" s="1494"/>
      <c r="D3" s="1494"/>
      <c r="E3" s="1494"/>
      <c r="F3" s="1494"/>
      <c r="G3" s="1234"/>
      <c r="H3" s="1234"/>
      <c r="M3" s="1494" t="str">
        <f>A3</f>
        <v xml:space="preserve"> </v>
      </c>
      <c r="N3" s="1494"/>
      <c r="O3" s="1494"/>
      <c r="P3" s="1494"/>
      <c r="Q3" s="1494"/>
      <c r="R3" s="1494"/>
      <c r="S3" s="1234"/>
    </row>
    <row r="4" spans="1:19" s="32" customFormat="1" ht="16.5" customHeight="1">
      <c r="A4" s="1096"/>
      <c r="B4" s="1096"/>
      <c r="C4" s="1096"/>
      <c r="D4" s="1096"/>
      <c r="E4" s="1096"/>
      <c r="F4" s="1096"/>
      <c r="G4" s="383"/>
      <c r="H4" s="383"/>
      <c r="M4" s="1096"/>
      <c r="N4" s="1096"/>
      <c r="O4" s="1096"/>
      <c r="P4" s="1096"/>
      <c r="Q4" s="1096"/>
      <c r="R4" s="1096"/>
      <c r="S4" s="383"/>
    </row>
    <row r="5" spans="1:19" s="32" customFormat="1" ht="16.5" customHeight="1">
      <c r="A5" s="50" t="str">
        <f>Титульный!B21</f>
        <v/>
      </c>
      <c r="B5" s="50"/>
      <c r="C5" s="50"/>
      <c r="D5" s="50"/>
      <c r="E5" s="50"/>
      <c r="F5" s="50"/>
      <c r="G5" s="1236"/>
      <c r="H5" s="1236"/>
      <c r="M5" s="1505" t="str">
        <f>A5</f>
        <v/>
      </c>
      <c r="N5" s="1505"/>
      <c r="O5" s="1505"/>
      <c r="P5" s="1505"/>
      <c r="Q5" s="1505"/>
      <c r="R5" s="1505"/>
      <c r="S5" s="1236"/>
    </row>
    <row r="6" spans="1:19" s="32" customFormat="1" ht="16.5" customHeight="1">
      <c r="A6" s="1097"/>
      <c r="B6" s="1097"/>
      <c r="C6" s="387"/>
      <c r="D6" s="387"/>
      <c r="E6" s="387"/>
      <c r="F6" s="387"/>
      <c r="M6" s="1097"/>
      <c r="N6" s="1097"/>
      <c r="O6" s="387"/>
      <c r="P6" s="387"/>
      <c r="Q6" s="387"/>
      <c r="R6" s="387"/>
    </row>
    <row r="7" spans="1:19" s="31" customFormat="1" ht="16.5" customHeight="1">
      <c r="A7" s="33" t="s">
        <v>199</v>
      </c>
      <c r="B7" s="56">
        <f>Титульный!B6</f>
        <v>0</v>
      </c>
      <c r="C7" s="388"/>
      <c r="D7" s="388"/>
      <c r="E7" s="49" t="s">
        <v>200</v>
      </c>
      <c r="F7" s="35">
        <f>Титульный!B7</f>
        <v>0</v>
      </c>
      <c r="M7" s="33" t="s">
        <v>199</v>
      </c>
      <c r="N7" s="56">
        <f>B7</f>
        <v>0</v>
      </c>
      <c r="O7" s="388"/>
      <c r="P7" s="49" t="s">
        <v>200</v>
      </c>
      <c r="Q7" s="35">
        <f>F7</f>
        <v>0</v>
      </c>
      <c r="R7" s="388"/>
    </row>
    <row r="8" spans="1:19" s="31" customFormat="1" ht="16.5" customHeight="1">
      <c r="A8" s="47"/>
      <c r="B8" s="33"/>
      <c r="C8" s="48"/>
      <c r="D8" s="48"/>
      <c r="E8" s="48"/>
      <c r="F8" s="34"/>
      <c r="G8" s="1230"/>
      <c r="H8" s="1229"/>
      <c r="M8" s="47"/>
      <c r="N8" s="33"/>
      <c r="O8" s="48"/>
      <c r="P8" s="48"/>
      <c r="Q8" s="48"/>
      <c r="R8" s="34"/>
      <c r="S8" s="1229"/>
    </row>
    <row r="9" spans="1:19" s="31" customFormat="1" ht="16.5" customHeight="1">
      <c r="A9" s="1097">
        <v>1</v>
      </c>
      <c r="B9" s="51" t="s">
        <v>453</v>
      </c>
      <c r="C9" s="1097"/>
      <c r="D9" s="1097"/>
      <c r="E9" s="1097"/>
      <c r="F9" s="1097"/>
      <c r="G9" s="384"/>
      <c r="H9" s="384"/>
      <c r="M9" s="1097">
        <v>1</v>
      </c>
      <c r="N9" s="51" t="s">
        <v>453</v>
      </c>
      <c r="O9" s="1097"/>
      <c r="P9" s="1097"/>
      <c r="Q9" s="1097"/>
      <c r="R9" s="1097"/>
      <c r="S9" s="384"/>
    </row>
    <row r="10" spans="1:19" s="31" customFormat="1" ht="16.5" customHeight="1">
      <c r="A10" s="1097"/>
      <c r="B10" s="1097"/>
      <c r="C10" s="1097"/>
      <c r="D10" s="1097"/>
      <c r="E10" s="1097"/>
      <c r="F10" s="1097"/>
      <c r="G10" s="384"/>
      <c r="H10" s="384"/>
      <c r="M10" s="1097"/>
      <c r="N10" s="1097"/>
      <c r="O10" s="1097"/>
      <c r="P10" s="1097"/>
      <c r="Q10" s="1097"/>
      <c r="R10" s="1097"/>
      <c r="S10" s="384"/>
    </row>
    <row r="11" spans="1:19" s="31" customFormat="1" ht="16.5" customHeight="1">
      <c r="A11" s="389" t="s">
        <v>183</v>
      </c>
      <c r="B11" s="1098" t="s">
        <v>308</v>
      </c>
      <c r="C11" s="1098" t="s">
        <v>413</v>
      </c>
      <c r="D11" s="1098" t="s">
        <v>309</v>
      </c>
      <c r="E11" s="1496" t="s">
        <v>459</v>
      </c>
      <c r="F11" s="1496"/>
      <c r="G11" s="384"/>
      <c r="H11" s="384"/>
      <c r="M11" s="391" t="s">
        <v>183</v>
      </c>
      <c r="N11" s="1098" t="s">
        <v>308</v>
      </c>
      <c r="O11" s="1098" t="s">
        <v>413</v>
      </c>
      <c r="P11" s="605" t="s">
        <v>309</v>
      </c>
      <c r="Q11" s="1496" t="s">
        <v>459</v>
      </c>
      <c r="R11" s="1496"/>
      <c r="S11" s="384"/>
    </row>
    <row r="12" spans="1:19" s="31" customFormat="1" ht="69.75" customHeight="1">
      <c r="A12" s="71" t="s">
        <v>190</v>
      </c>
      <c r="B12" s="611" t="s">
        <v>454</v>
      </c>
      <c r="C12" s="55" t="s">
        <v>458</v>
      </c>
      <c r="D12" s="855">
        <f>IF(Титульный!B17="2016-2018",'данные об организации'!I32,'данные об организации'!H32)</f>
        <v>0</v>
      </c>
      <c r="E12" s="1497" t="s">
        <v>1623</v>
      </c>
      <c r="F12" s="1497"/>
      <c r="G12" s="383"/>
      <c r="H12" s="384"/>
      <c r="M12" s="71" t="s">
        <v>190</v>
      </c>
      <c r="N12" s="611" t="s">
        <v>454</v>
      </c>
      <c r="O12" s="55" t="s">
        <v>458</v>
      </c>
      <c r="P12" s="117">
        <f>IF(Титульный!B17="2016-2018",'ПП 2016-2018'!H43,'ПП2017-2019'!G47)</f>
        <v>0</v>
      </c>
      <c r="Q12" s="1497" t="s">
        <v>1907</v>
      </c>
      <c r="R12" s="1497"/>
      <c r="S12" s="383"/>
    </row>
    <row r="13" spans="1:19" s="31" customFormat="1" ht="48" customHeight="1">
      <c r="A13" s="71" t="s">
        <v>191</v>
      </c>
      <c r="B13" s="611" t="s">
        <v>456</v>
      </c>
      <c r="C13" s="55" t="s">
        <v>457</v>
      </c>
      <c r="D13" s="855">
        <f>'баланс ВСН'!I36</f>
        <v>0</v>
      </c>
      <c r="E13" s="1497"/>
      <c r="F13" s="1497"/>
      <c r="G13" s="383"/>
      <c r="H13" s="384"/>
      <c r="M13" s="71" t="s">
        <v>191</v>
      </c>
      <c r="N13" s="611" t="s">
        <v>456</v>
      </c>
      <c r="O13" s="55" t="s">
        <v>457</v>
      </c>
      <c r="P13" s="117">
        <f>'баланс ВСН'!X36</f>
        <v>0</v>
      </c>
      <c r="Q13" s="1504"/>
      <c r="R13" s="1504"/>
      <c r="S13" s="383"/>
    </row>
    <row r="14" spans="1:19" s="31" customFormat="1" ht="27" customHeight="1">
      <c r="A14" s="71" t="s">
        <v>192</v>
      </c>
      <c r="B14" s="611" t="s">
        <v>460</v>
      </c>
      <c r="C14" s="55" t="s">
        <v>462</v>
      </c>
      <c r="D14" s="855">
        <f>D12*D13</f>
        <v>0</v>
      </c>
      <c r="E14" s="1498"/>
      <c r="F14" s="1499"/>
      <c r="G14" s="384"/>
      <c r="H14" s="384"/>
      <c r="M14" s="71" t="s">
        <v>192</v>
      </c>
      <c r="N14" s="611" t="s">
        <v>460</v>
      </c>
      <c r="O14" s="55" t="s">
        <v>462</v>
      </c>
      <c r="P14" s="117">
        <f>P12*P13</f>
        <v>0</v>
      </c>
      <c r="Q14" s="1504"/>
      <c r="R14" s="1504"/>
      <c r="S14" s="384"/>
    </row>
    <row r="15" spans="1:19" s="31" customFormat="1" ht="63.75" customHeight="1">
      <c r="A15" s="71" t="s">
        <v>193</v>
      </c>
      <c r="B15" s="611" t="s">
        <v>455</v>
      </c>
      <c r="C15" s="55" t="s">
        <v>458</v>
      </c>
      <c r="D15" s="855">
        <f>IF(Титульный!B17="2016-2018",'данные об организации'!I33,'данные об организации'!H33)</f>
        <v>0</v>
      </c>
      <c r="E15" s="1497" t="s">
        <v>1623</v>
      </c>
      <c r="F15" s="1497"/>
      <c r="G15" s="383"/>
      <c r="H15" s="384"/>
      <c r="M15" s="71" t="s">
        <v>193</v>
      </c>
      <c r="N15" s="611" t="s">
        <v>455</v>
      </c>
      <c r="O15" s="55" t="s">
        <v>458</v>
      </c>
      <c r="P15" s="117">
        <f>IF(Титульный!B17="2016-2018",'ПП 2016-2018'!H44,'ПП2017-2019'!G49)</f>
        <v>0</v>
      </c>
      <c r="Q15" s="1497" t="s">
        <v>1638</v>
      </c>
      <c r="R15" s="1497"/>
      <c r="S15" s="383"/>
    </row>
    <row r="16" spans="1:19" s="31" customFormat="1" ht="46.5" customHeight="1">
      <c r="A16" s="71" t="s">
        <v>194</v>
      </c>
      <c r="B16" s="611" t="s">
        <v>186</v>
      </c>
      <c r="C16" s="55" t="s">
        <v>457</v>
      </c>
      <c r="D16" s="855">
        <f>'баланс ВСН'!I33</f>
        <v>0</v>
      </c>
      <c r="E16" s="1497"/>
      <c r="F16" s="1497"/>
      <c r="G16" s="383"/>
      <c r="H16" s="384"/>
      <c r="M16" s="71" t="s">
        <v>194</v>
      </c>
      <c r="N16" s="611" t="s">
        <v>186</v>
      </c>
      <c r="O16" s="55" t="s">
        <v>457</v>
      </c>
      <c r="P16" s="117">
        <f>'баланс ВСН'!X33</f>
        <v>0</v>
      </c>
      <c r="Q16" s="1504"/>
      <c r="R16" s="1504"/>
      <c r="S16" s="383"/>
    </row>
    <row r="17" spans="1:19" s="31" customFormat="1" ht="33" customHeight="1" thickBot="1">
      <c r="A17" s="71" t="s">
        <v>195</v>
      </c>
      <c r="B17" s="611" t="s">
        <v>461</v>
      </c>
      <c r="C17" s="55" t="s">
        <v>462</v>
      </c>
      <c r="D17" s="57">
        <f>D15*D16</f>
        <v>0</v>
      </c>
      <c r="E17" s="1498"/>
      <c r="F17" s="1499"/>
      <c r="G17" s="384"/>
      <c r="H17" s="384"/>
      <c r="M17" s="71" t="s">
        <v>195</v>
      </c>
      <c r="N17" s="611" t="s">
        <v>461</v>
      </c>
      <c r="O17" s="55" t="s">
        <v>462</v>
      </c>
      <c r="P17" s="118">
        <f>P15*P16</f>
        <v>0</v>
      </c>
      <c r="Q17" s="1504"/>
      <c r="R17" s="1504"/>
      <c r="S17" s="384"/>
    </row>
    <row r="18" spans="1:19" s="54" customFormat="1" ht="16.5" customHeight="1" thickBot="1">
      <c r="A18" s="1098">
        <v>3</v>
      </c>
      <c r="B18" s="1098" t="s">
        <v>463</v>
      </c>
      <c r="C18" s="605" t="s">
        <v>462</v>
      </c>
      <c r="D18" s="58">
        <f>D14+D17</f>
        <v>0</v>
      </c>
      <c r="E18" s="1498"/>
      <c r="F18" s="1499"/>
      <c r="G18" s="384"/>
      <c r="H18" s="384"/>
      <c r="M18" s="1098">
        <v>3</v>
      </c>
      <c r="N18" s="1098" t="s">
        <v>463</v>
      </c>
      <c r="O18" s="605" t="s">
        <v>462</v>
      </c>
      <c r="P18" s="854">
        <f>P14+P17</f>
        <v>0</v>
      </c>
      <c r="Q18" s="1504"/>
      <c r="R18" s="1504"/>
      <c r="S18" s="384"/>
    </row>
    <row r="19" spans="1:19" s="31" customFormat="1" ht="16.5" customHeight="1">
      <c r="A19" s="385"/>
      <c r="B19" s="385"/>
      <c r="C19" s="385"/>
      <c r="D19" s="385"/>
      <c r="E19" s="385"/>
      <c r="F19" s="384"/>
      <c r="G19" s="384"/>
      <c r="H19" s="384"/>
      <c r="M19" s="52"/>
      <c r="N19" s="52"/>
      <c r="O19" s="52"/>
      <c r="P19" s="1239"/>
      <c r="Q19" s="385"/>
      <c r="R19" s="384"/>
      <c r="S19" s="384"/>
    </row>
    <row r="20" spans="1:19" s="31" customFormat="1" ht="16.5" customHeight="1">
      <c r="A20" s="1097">
        <v>2</v>
      </c>
      <c r="B20" s="51" t="s">
        <v>518</v>
      </c>
      <c r="C20" s="52"/>
      <c r="D20" s="52"/>
      <c r="E20" s="52"/>
      <c r="F20" s="1097"/>
      <c r="G20" s="1097"/>
      <c r="H20" s="1097"/>
      <c r="M20" s="388"/>
      <c r="N20" s="1240" t="s">
        <v>1639</v>
      </c>
      <c r="O20" s="388"/>
      <c r="P20" s="388"/>
      <c r="S20" s="384"/>
    </row>
    <row r="21" spans="1:19" s="31" customFormat="1" ht="16.5" customHeight="1">
      <c r="A21" s="52"/>
      <c r="B21" s="52"/>
      <c r="C21" s="52"/>
      <c r="D21" s="52"/>
      <c r="E21" s="52"/>
      <c r="F21" s="1097"/>
      <c r="G21" s="1097"/>
      <c r="H21" s="1097"/>
      <c r="M21" s="388"/>
      <c r="N21" s="388" t="s">
        <v>1990</v>
      </c>
      <c r="O21" s="388"/>
      <c r="P21" s="1364"/>
      <c r="S21" s="384"/>
    </row>
    <row r="22" spans="1:19" ht="16.5" customHeight="1">
      <c r="A22" s="1501" t="s">
        <v>183</v>
      </c>
      <c r="B22" s="1501" t="s">
        <v>412</v>
      </c>
      <c r="C22" s="1500" t="s">
        <v>413</v>
      </c>
      <c r="D22" s="1500" t="s">
        <v>220</v>
      </c>
      <c r="E22" s="1500"/>
      <c r="F22" s="1500"/>
      <c r="G22" s="1500"/>
      <c r="H22" s="1500"/>
      <c r="M22" s="44"/>
      <c r="N22" s="1241" t="s">
        <v>1024</v>
      </c>
      <c r="O22" s="44"/>
      <c r="P22" s="1242">
        <f>IF(Титульный!B17="2016-2018",P12*'баланс базового периода'!F25*1000+'баланс базового периода'!F31*1000*P15-P21,P12*'баланс базового периода'!E25*1000+'баланс базового периода'!E31*1000*P15-P21)</f>
        <v>0</v>
      </c>
    </row>
    <row r="23" spans="1:19" ht="16.5" customHeight="1">
      <c r="A23" s="1502"/>
      <c r="B23" s="1502"/>
      <c r="C23" s="1500"/>
      <c r="D23" s="1500" t="s">
        <v>1180</v>
      </c>
      <c r="E23" s="1500"/>
      <c r="F23" s="1500"/>
      <c r="G23" s="1500"/>
      <c r="H23" s="1500"/>
      <c r="M23" s="44"/>
      <c r="N23" s="44"/>
      <c r="O23" s="44"/>
      <c r="P23" s="44"/>
    </row>
    <row r="24" spans="1:19" ht="16.5" customHeight="1">
      <c r="A24" s="1502"/>
      <c r="B24" s="1502"/>
      <c r="C24" s="1500"/>
      <c r="D24" s="1500" t="s">
        <v>188</v>
      </c>
      <c r="E24" s="1513" t="s">
        <v>414</v>
      </c>
      <c r="F24" s="1513"/>
      <c r="G24" s="1513"/>
      <c r="H24" s="1513"/>
      <c r="M24" s="44"/>
      <c r="N24" s="44"/>
      <c r="O24" s="44"/>
      <c r="P24" s="44"/>
    </row>
    <row r="25" spans="1:19" ht="16.5" customHeight="1">
      <c r="A25" s="1503"/>
      <c r="B25" s="1503"/>
      <c r="C25" s="1500"/>
      <c r="D25" s="1500"/>
      <c r="E25" s="37" t="s">
        <v>415</v>
      </c>
      <c r="F25" s="37" t="s">
        <v>416</v>
      </c>
      <c r="G25" s="37" t="s">
        <v>417</v>
      </c>
      <c r="H25" s="37" t="s">
        <v>418</v>
      </c>
      <c r="M25" s="44"/>
      <c r="N25" s="44"/>
      <c r="O25" s="44"/>
      <c r="P25" s="44"/>
    </row>
    <row r="26" spans="1:19" ht="37.5" customHeight="1">
      <c r="A26" s="1099"/>
      <c r="B26" s="76" t="s">
        <v>419</v>
      </c>
      <c r="C26" s="1105" t="s">
        <v>420</v>
      </c>
      <c r="D26" s="854">
        <f>SUM(E26:H26)</f>
        <v>0</v>
      </c>
      <c r="E26" s="854">
        <f>E27+E35</f>
        <v>0</v>
      </c>
      <c r="F26" s="854">
        <f>F27+F35</f>
        <v>0</v>
      </c>
      <c r="G26" s="854">
        <f>G27+G35</f>
        <v>0</v>
      </c>
      <c r="H26" s="854">
        <f>H27+H35</f>
        <v>0</v>
      </c>
      <c r="M26" s="1097">
        <v>2</v>
      </c>
      <c r="N26" s="51" t="s">
        <v>1640</v>
      </c>
      <c r="O26" s="52"/>
      <c r="P26" s="52"/>
      <c r="Q26" s="385"/>
      <c r="R26" s="384"/>
    </row>
    <row r="27" spans="1:19" ht="33" customHeight="1">
      <c r="A27" s="1095" t="s">
        <v>421</v>
      </c>
      <c r="B27" s="38" t="s">
        <v>422</v>
      </c>
      <c r="C27" s="1105" t="s">
        <v>420</v>
      </c>
      <c r="D27" s="854">
        <f>SUM(E27:H27)</f>
        <v>0</v>
      </c>
      <c r="E27" s="854">
        <f>E28*E29</f>
        <v>0</v>
      </c>
      <c r="F27" s="854">
        <f t="shared" ref="F27:H27" si="0">F28*F29</f>
        <v>0</v>
      </c>
      <c r="G27" s="854">
        <f t="shared" si="0"/>
        <v>0</v>
      </c>
      <c r="H27" s="854">
        <f t="shared" si="0"/>
        <v>0</v>
      </c>
      <c r="M27" s="52"/>
      <c r="N27" s="52"/>
      <c r="O27" s="52"/>
      <c r="P27" s="52"/>
      <c r="Q27" s="385"/>
      <c r="R27" s="384"/>
    </row>
    <row r="28" spans="1:19" ht="16.5" customHeight="1">
      <c r="A28" s="1095" t="s">
        <v>222</v>
      </c>
      <c r="B28" s="38" t="s">
        <v>423</v>
      </c>
      <c r="C28" s="1105" t="s">
        <v>424</v>
      </c>
      <c r="D28" s="106">
        <f>IF(D29=0,0,D27/D29)</f>
        <v>0</v>
      </c>
      <c r="E28" s="386"/>
      <c r="F28" s="386"/>
      <c r="G28" s="386"/>
      <c r="H28" s="386"/>
      <c r="M28" s="391" t="s">
        <v>183</v>
      </c>
      <c r="N28" s="1098" t="s">
        <v>308</v>
      </c>
      <c r="O28" s="1098" t="s">
        <v>413</v>
      </c>
      <c r="P28" s="392" t="s">
        <v>1129</v>
      </c>
      <c r="Q28" s="385"/>
      <c r="R28" s="384"/>
    </row>
    <row r="29" spans="1:19" ht="16.5" customHeight="1">
      <c r="A29" s="1105" t="s">
        <v>228</v>
      </c>
      <c r="B29" s="39" t="s">
        <v>425</v>
      </c>
      <c r="C29" s="40" t="s">
        <v>426</v>
      </c>
      <c r="D29" s="106">
        <f t="shared" ref="D29:H29" si="1">SUM(D31:D33)</f>
        <v>0</v>
      </c>
      <c r="E29" s="106">
        <f t="shared" si="1"/>
        <v>0</v>
      </c>
      <c r="F29" s="106">
        <f t="shared" si="1"/>
        <v>0</v>
      </c>
      <c r="G29" s="106">
        <f t="shared" si="1"/>
        <v>0</v>
      </c>
      <c r="H29" s="106">
        <f t="shared" si="1"/>
        <v>0</v>
      </c>
      <c r="M29" s="6" t="s">
        <v>387</v>
      </c>
      <c r="N29" s="116" t="s">
        <v>464</v>
      </c>
      <c r="O29" s="6" t="s">
        <v>447</v>
      </c>
      <c r="P29" s="108">
        <f>D54*электроэнергия_среднегод_2017*электроэнергия_среднегод_2018</f>
        <v>0</v>
      </c>
      <c r="Q29" s="385"/>
      <c r="R29" s="384"/>
    </row>
    <row r="30" spans="1:19" ht="16.5" customHeight="1">
      <c r="A30" s="1105"/>
      <c r="B30" s="41" t="s">
        <v>427</v>
      </c>
      <c r="C30" s="40" t="s">
        <v>426</v>
      </c>
      <c r="D30" s="106"/>
      <c r="E30" s="854"/>
      <c r="F30" s="854"/>
      <c r="G30" s="854"/>
      <c r="H30" s="854"/>
      <c r="M30" s="6" t="s">
        <v>311</v>
      </c>
      <c r="N30" s="116" t="s">
        <v>465</v>
      </c>
      <c r="O30" s="6" t="s">
        <v>447</v>
      </c>
      <c r="P30" s="108">
        <f>D55*электроэнергия_среднегод_2017*электроэнергия_среднегод_2018</f>
        <v>0</v>
      </c>
      <c r="Q30" s="385"/>
      <c r="R30" s="384"/>
    </row>
    <row r="31" spans="1:19" ht="16.5" customHeight="1">
      <c r="A31" s="53" t="s">
        <v>428</v>
      </c>
      <c r="B31" s="43" t="s">
        <v>429</v>
      </c>
      <c r="C31" s="40" t="s">
        <v>430</v>
      </c>
      <c r="D31" s="1084">
        <f>E31+F31+G31+H31</f>
        <v>0</v>
      </c>
      <c r="E31" s="226"/>
      <c r="F31" s="226"/>
      <c r="G31" s="226"/>
      <c r="H31" s="226"/>
      <c r="M31" s="44"/>
      <c r="N31" s="44"/>
      <c r="O31" s="44"/>
      <c r="Q31" s="385"/>
      <c r="R31" s="384"/>
    </row>
    <row r="32" spans="1:19" ht="16.5" customHeight="1">
      <c r="A32" s="53" t="s">
        <v>431</v>
      </c>
      <c r="B32" s="43" t="s">
        <v>432</v>
      </c>
      <c r="C32" s="40" t="s">
        <v>430</v>
      </c>
      <c r="D32" s="1084">
        <f t="shared" ref="D32:D33" si="2">E32+F32+G32+H32</f>
        <v>0</v>
      </c>
      <c r="E32" s="226"/>
      <c r="F32" s="226"/>
      <c r="G32" s="226"/>
      <c r="H32" s="226"/>
      <c r="M32" s="1098">
        <v>4</v>
      </c>
      <c r="N32" s="72" t="s">
        <v>519</v>
      </c>
      <c r="O32" s="6" t="s">
        <v>420</v>
      </c>
      <c r="P32" s="854">
        <f>P14*P29+P17*P30</f>
        <v>0</v>
      </c>
      <c r="Q32" s="385"/>
      <c r="R32" s="384"/>
    </row>
    <row r="33" spans="1:18" ht="16.5" customHeight="1">
      <c r="A33" s="53" t="s">
        <v>433</v>
      </c>
      <c r="B33" s="43" t="s">
        <v>434</v>
      </c>
      <c r="C33" s="40" t="s">
        <v>430</v>
      </c>
      <c r="D33" s="1084">
        <f t="shared" si="2"/>
        <v>0</v>
      </c>
      <c r="E33" s="226"/>
      <c r="F33" s="226"/>
      <c r="G33" s="226"/>
      <c r="H33" s="226"/>
      <c r="Q33" s="385"/>
      <c r="R33" s="384"/>
    </row>
    <row r="34" spans="1:18" ht="16.5" customHeight="1">
      <c r="A34" s="1232"/>
      <c r="B34" s="1232"/>
      <c r="C34" s="1232"/>
      <c r="D34" s="1233"/>
      <c r="E34" s="1233"/>
      <c r="F34" s="1233"/>
      <c r="G34" s="1233"/>
      <c r="H34" s="1233"/>
      <c r="Q34" s="385"/>
      <c r="R34" s="384"/>
    </row>
    <row r="35" spans="1:18" ht="34.5" customHeight="1">
      <c r="A35" s="1105" t="s">
        <v>435</v>
      </c>
      <c r="B35" s="38" t="s">
        <v>436</v>
      </c>
      <c r="C35" s="1105" t="s">
        <v>420</v>
      </c>
      <c r="D35" s="854">
        <f>SUM(E35:H35)</f>
        <v>0</v>
      </c>
      <c r="E35" s="854">
        <f>E36+E43</f>
        <v>0</v>
      </c>
      <c r="F35" s="854">
        <f>F36+F43</f>
        <v>0</v>
      </c>
      <c r="G35" s="854">
        <f>G36+G43</f>
        <v>0</v>
      </c>
      <c r="H35" s="854">
        <f>H36+H43</f>
        <v>0</v>
      </c>
      <c r="Q35" s="385"/>
      <c r="R35" s="384"/>
    </row>
    <row r="36" spans="1:18" ht="16.5" customHeight="1">
      <c r="A36" s="1105" t="s">
        <v>222</v>
      </c>
      <c r="B36" s="39" t="s">
        <v>437</v>
      </c>
      <c r="C36" s="53" t="s">
        <v>420</v>
      </c>
      <c r="D36" s="106">
        <f>SUM(E36:H36)</f>
        <v>0</v>
      </c>
      <c r="E36" s="854">
        <f>E37*E38</f>
        <v>0</v>
      </c>
      <c r="F36" s="854">
        <f t="shared" ref="F36:H36" si="3">F37*F38</f>
        <v>0</v>
      </c>
      <c r="G36" s="854">
        <f t="shared" si="3"/>
        <v>0</v>
      </c>
      <c r="H36" s="854">
        <f t="shared" si="3"/>
        <v>0</v>
      </c>
    </row>
    <row r="37" spans="1:18" ht="33" customHeight="1">
      <c r="A37" s="1105" t="s">
        <v>224</v>
      </c>
      <c r="B37" s="39" t="s">
        <v>438</v>
      </c>
      <c r="C37" s="53" t="s">
        <v>439</v>
      </c>
      <c r="D37" s="106">
        <f>IF(D38=0,0,D36/D38)</f>
        <v>0</v>
      </c>
      <c r="E37" s="386"/>
      <c r="F37" s="386"/>
      <c r="G37" s="386"/>
      <c r="H37" s="386"/>
    </row>
    <row r="38" spans="1:18" ht="16.5" customHeight="1">
      <c r="A38" s="1105" t="s">
        <v>226</v>
      </c>
      <c r="B38" s="39" t="s">
        <v>440</v>
      </c>
      <c r="C38" s="53" t="s">
        <v>441</v>
      </c>
      <c r="D38" s="106">
        <f t="shared" ref="D38:H38" si="4">SUM(D40:D42)</f>
        <v>0</v>
      </c>
      <c r="E38" s="106">
        <f t="shared" si="4"/>
        <v>0</v>
      </c>
      <c r="F38" s="106">
        <f t="shared" si="4"/>
        <v>0</v>
      </c>
      <c r="G38" s="106">
        <f t="shared" si="4"/>
        <v>0</v>
      </c>
      <c r="H38" s="106">
        <f t="shared" si="4"/>
        <v>0</v>
      </c>
    </row>
    <row r="39" spans="1:18" ht="16.5" customHeight="1">
      <c r="A39" s="1105"/>
      <c r="B39" s="41" t="s">
        <v>427</v>
      </c>
      <c r="C39" s="53" t="s">
        <v>442</v>
      </c>
      <c r="D39" s="106"/>
      <c r="E39" s="854"/>
      <c r="F39" s="854"/>
      <c r="G39" s="854"/>
      <c r="H39" s="854"/>
    </row>
    <row r="40" spans="1:18" ht="16.5" customHeight="1">
      <c r="A40" s="53" t="s">
        <v>443</v>
      </c>
      <c r="B40" s="43" t="s">
        <v>429</v>
      </c>
      <c r="C40" s="53" t="s">
        <v>442</v>
      </c>
      <c r="D40" s="1084">
        <f>E40+F40+G40+H40</f>
        <v>0</v>
      </c>
      <c r="E40" s="226"/>
      <c r="F40" s="226"/>
      <c r="G40" s="226"/>
      <c r="H40" s="226"/>
    </row>
    <row r="41" spans="1:18" ht="16.5" customHeight="1">
      <c r="A41" s="53" t="s">
        <v>444</v>
      </c>
      <c r="B41" s="43" t="s">
        <v>432</v>
      </c>
      <c r="C41" s="53" t="s">
        <v>442</v>
      </c>
      <c r="D41" s="1084">
        <f t="shared" ref="D41:D42" si="5">E41+F41+G41+H41</f>
        <v>0</v>
      </c>
      <c r="E41" s="226"/>
      <c r="F41" s="226"/>
      <c r="G41" s="226"/>
      <c r="H41" s="226"/>
    </row>
    <row r="42" spans="1:18" ht="16.5" customHeight="1">
      <c r="A42" s="53" t="s">
        <v>445</v>
      </c>
      <c r="B42" s="43" t="s">
        <v>434</v>
      </c>
      <c r="C42" s="53" t="s">
        <v>442</v>
      </c>
      <c r="D42" s="1084">
        <f t="shared" si="5"/>
        <v>0</v>
      </c>
      <c r="E42" s="226"/>
      <c r="F42" s="226"/>
      <c r="G42" s="226"/>
      <c r="H42" s="226"/>
    </row>
    <row r="43" spans="1:18" ht="16.5" customHeight="1">
      <c r="A43" s="1105" t="s">
        <v>228</v>
      </c>
      <c r="B43" s="39" t="s">
        <v>446</v>
      </c>
      <c r="C43" s="53" t="s">
        <v>420</v>
      </c>
      <c r="D43" s="106">
        <f>SUM(E43:H43)</f>
        <v>0</v>
      </c>
      <c r="E43" s="854">
        <f>E44*E45</f>
        <v>0</v>
      </c>
      <c r="F43" s="854">
        <f t="shared" ref="F43:H43" si="6">F44*F45</f>
        <v>0</v>
      </c>
      <c r="G43" s="854">
        <f t="shared" si="6"/>
        <v>0</v>
      </c>
      <c r="H43" s="854">
        <f t="shared" si="6"/>
        <v>0</v>
      </c>
    </row>
    <row r="44" spans="1:18" ht="16.5" customHeight="1">
      <c r="A44" s="1105" t="s">
        <v>428</v>
      </c>
      <c r="B44" s="39" t="s">
        <v>423</v>
      </c>
      <c r="C44" s="53" t="s">
        <v>447</v>
      </c>
      <c r="D44" s="106">
        <f>IF(D45=0,0,D43/D45)</f>
        <v>0</v>
      </c>
      <c r="E44" s="386"/>
      <c r="F44" s="386"/>
      <c r="G44" s="386"/>
      <c r="H44" s="386"/>
    </row>
    <row r="45" spans="1:18" ht="16.5" customHeight="1">
      <c r="A45" s="1105" t="s">
        <v>431</v>
      </c>
      <c r="B45" s="39" t="s">
        <v>425</v>
      </c>
      <c r="C45" s="40" t="s">
        <v>426</v>
      </c>
      <c r="D45" s="106">
        <f t="shared" ref="D45:H45" si="7">SUM(D47:D49)</f>
        <v>0</v>
      </c>
      <c r="E45" s="106">
        <f t="shared" si="7"/>
        <v>0</v>
      </c>
      <c r="F45" s="106">
        <f t="shared" si="7"/>
        <v>0</v>
      </c>
      <c r="G45" s="106">
        <f t="shared" si="7"/>
        <v>0</v>
      </c>
      <c r="H45" s="106">
        <f t="shared" si="7"/>
        <v>0</v>
      </c>
    </row>
    <row r="46" spans="1:18" ht="16.5" customHeight="1">
      <c r="A46" s="1105"/>
      <c r="B46" s="41" t="s">
        <v>427</v>
      </c>
      <c r="C46" s="40" t="s">
        <v>426</v>
      </c>
      <c r="D46" s="106"/>
      <c r="E46" s="854"/>
      <c r="F46" s="854"/>
      <c r="G46" s="854"/>
      <c r="H46" s="854"/>
    </row>
    <row r="47" spans="1:18" ht="16.5" customHeight="1">
      <c r="A47" s="53" t="s">
        <v>448</v>
      </c>
      <c r="B47" s="43" t="s">
        <v>429</v>
      </c>
      <c r="C47" s="40" t="s">
        <v>430</v>
      </c>
      <c r="D47" s="1084">
        <f>E47+F47+G47+H47</f>
        <v>0</v>
      </c>
      <c r="E47" s="226"/>
      <c r="F47" s="226"/>
      <c r="G47" s="226"/>
      <c r="H47" s="226"/>
    </row>
    <row r="48" spans="1:18" ht="16.5" customHeight="1">
      <c r="A48" s="53" t="s">
        <v>449</v>
      </c>
      <c r="B48" s="43" t="s">
        <v>432</v>
      </c>
      <c r="C48" s="40" t="s">
        <v>430</v>
      </c>
      <c r="D48" s="1084">
        <f t="shared" ref="D48:D49" si="8">E48+F48+G48+H48</f>
        <v>0</v>
      </c>
      <c r="E48" s="226"/>
      <c r="F48" s="226"/>
      <c r="G48" s="226"/>
      <c r="H48" s="226"/>
    </row>
    <row r="49" spans="1:20" ht="16.5" customHeight="1">
      <c r="A49" s="53" t="s">
        <v>450</v>
      </c>
      <c r="B49" s="43" t="s">
        <v>434</v>
      </c>
      <c r="C49" s="40" t="s">
        <v>430</v>
      </c>
      <c r="D49" s="1084">
        <f t="shared" si="8"/>
        <v>0</v>
      </c>
      <c r="E49" s="226"/>
      <c r="F49" s="226"/>
      <c r="G49" s="226"/>
      <c r="H49" s="226"/>
    </row>
    <row r="50" spans="1:20" ht="16.5" customHeight="1">
      <c r="A50" s="44"/>
      <c r="B50" s="45"/>
      <c r="C50" s="44"/>
      <c r="D50" s="313"/>
      <c r="E50" s="313"/>
      <c r="F50" s="313"/>
      <c r="G50" s="313"/>
      <c r="H50" s="313"/>
    </row>
    <row r="51" spans="1:20" s="46" customFormat="1" ht="16.5" customHeight="1">
      <c r="A51" s="67" t="s">
        <v>196</v>
      </c>
      <c r="B51" s="66" t="s">
        <v>451</v>
      </c>
      <c r="C51" s="6" t="s">
        <v>426</v>
      </c>
      <c r="D51" s="314">
        <f>D31+D32+D47+D48</f>
        <v>0</v>
      </c>
      <c r="E51" s="314">
        <f t="shared" ref="E51:H51" si="9">E31+E32+E47+E48</f>
        <v>0</v>
      </c>
      <c r="F51" s="314">
        <f t="shared" si="9"/>
        <v>0</v>
      </c>
      <c r="G51" s="314">
        <f t="shared" si="9"/>
        <v>0</v>
      </c>
      <c r="H51" s="314">
        <f t="shared" si="9"/>
        <v>0</v>
      </c>
      <c r="M51" s="36"/>
      <c r="N51" s="36"/>
      <c r="O51" s="36"/>
      <c r="P51" s="36"/>
      <c r="Q51" s="36"/>
      <c r="R51" s="36"/>
      <c r="S51" s="36"/>
      <c r="T51" s="36"/>
    </row>
    <row r="52" spans="1:20" s="46" customFormat="1" ht="16.5" customHeight="1">
      <c r="A52" s="67" t="s">
        <v>197</v>
      </c>
      <c r="B52" s="66" t="s">
        <v>452</v>
      </c>
      <c r="C52" s="6" t="s">
        <v>426</v>
      </c>
      <c r="D52" s="315">
        <f t="shared" ref="D52:H52" si="10">D49+D33</f>
        <v>0</v>
      </c>
      <c r="E52" s="315">
        <f t="shared" si="10"/>
        <v>0</v>
      </c>
      <c r="F52" s="315">
        <f t="shared" si="10"/>
        <v>0</v>
      </c>
      <c r="G52" s="315">
        <f t="shared" si="10"/>
        <v>0</v>
      </c>
      <c r="H52" s="315">
        <f t="shared" si="10"/>
        <v>0</v>
      </c>
      <c r="M52" s="36"/>
      <c r="N52" s="36"/>
      <c r="O52" s="36"/>
      <c r="P52" s="36"/>
      <c r="Q52" s="36"/>
      <c r="R52" s="36"/>
      <c r="S52" s="36"/>
      <c r="T52" s="36"/>
    </row>
    <row r="53" spans="1:20" ht="16.5" customHeight="1">
      <c r="A53" s="390"/>
      <c r="B53" s="44"/>
      <c r="C53" s="44"/>
      <c r="D53" s="313"/>
      <c r="E53" s="313"/>
      <c r="F53" s="313"/>
      <c r="G53" s="313"/>
      <c r="H53" s="313"/>
    </row>
    <row r="54" spans="1:20" s="46" customFormat="1" ht="16.5" customHeight="1">
      <c r="A54" s="67" t="s">
        <v>213</v>
      </c>
      <c r="B54" s="66" t="s">
        <v>464</v>
      </c>
      <c r="C54" s="6" t="s">
        <v>447</v>
      </c>
      <c r="D54" s="1075">
        <f>IF(D51=0,,(E54*E51+F54*F51+G54*G51+H54*H51)/D51)</f>
        <v>0</v>
      </c>
      <c r="E54" s="314">
        <f t="shared" ref="E54:H54" si="11">IF(E51=0,0,(E47*E44+E48*E44+E31*E28+E32*E28+E40*E37+E41*E37)/E51)</f>
        <v>0</v>
      </c>
      <c r="F54" s="314">
        <f t="shared" si="11"/>
        <v>0</v>
      </c>
      <c r="G54" s="314">
        <f t="shared" si="11"/>
        <v>0</v>
      </c>
      <c r="H54" s="314">
        <f t="shared" si="11"/>
        <v>0</v>
      </c>
      <c r="M54" s="36"/>
      <c r="N54" s="36"/>
      <c r="O54" s="36"/>
      <c r="P54" s="36"/>
      <c r="Q54" s="36"/>
      <c r="R54" s="36"/>
      <c r="S54" s="36"/>
      <c r="T54" s="36"/>
    </row>
    <row r="55" spans="1:20" s="46" customFormat="1" ht="16.5" customHeight="1">
      <c r="A55" s="67" t="s">
        <v>214</v>
      </c>
      <c r="B55" s="66" t="s">
        <v>465</v>
      </c>
      <c r="C55" s="6" t="s">
        <v>447</v>
      </c>
      <c r="D55" s="1075">
        <f>IF(D52=0,,(E55*E52+F55*F52+G55*G52+H55*H52)/D52)</f>
        <v>0</v>
      </c>
      <c r="E55" s="315">
        <f t="shared" ref="E55:H55" si="12">IF(E52=0,0,(E33*E28+E49*E44+E42*E37)/E52)</f>
        <v>0</v>
      </c>
      <c r="F55" s="315">
        <f t="shared" si="12"/>
        <v>0</v>
      </c>
      <c r="G55" s="315">
        <f t="shared" si="12"/>
        <v>0</v>
      </c>
      <c r="H55" s="315">
        <f t="shared" si="12"/>
        <v>0</v>
      </c>
      <c r="M55" s="36"/>
      <c r="N55" s="36"/>
      <c r="O55" s="36"/>
      <c r="P55" s="36"/>
      <c r="Q55" s="36"/>
      <c r="R55" s="36"/>
      <c r="S55" s="36"/>
      <c r="T55" s="36"/>
    </row>
    <row r="56" spans="1:20" s="70" customFormat="1" ht="16.5" customHeight="1">
      <c r="A56" s="4"/>
      <c r="B56" s="68"/>
      <c r="C56" s="4"/>
      <c r="D56" s="69"/>
      <c r="E56" s="69"/>
      <c r="F56" s="69"/>
      <c r="G56" s="69"/>
      <c r="H56" s="69"/>
      <c r="M56" s="36"/>
      <c r="N56" s="36"/>
      <c r="O56" s="36"/>
      <c r="P56" s="36"/>
      <c r="Q56" s="36"/>
      <c r="R56" s="36"/>
      <c r="S56" s="36"/>
      <c r="T56" s="36"/>
    </row>
    <row r="57" spans="1:20" ht="16.5" customHeight="1">
      <c r="A57" s="1097">
        <v>3</v>
      </c>
      <c r="B57" s="51" t="s">
        <v>1634</v>
      </c>
      <c r="C57" s="44"/>
      <c r="D57" s="44"/>
      <c r="E57" s="44"/>
      <c r="F57" s="44"/>
      <c r="G57" s="44"/>
      <c r="H57" s="44"/>
    </row>
    <row r="58" spans="1:20" ht="16.5" customHeight="1">
      <c r="A58" s="384"/>
      <c r="B58" s="1231"/>
    </row>
    <row r="59" spans="1:20" s="46" customFormat="1" ht="16.5" customHeight="1">
      <c r="A59" s="67">
        <v>5</v>
      </c>
      <c r="B59" s="66" t="s">
        <v>1633</v>
      </c>
      <c r="C59" s="67" t="s">
        <v>310</v>
      </c>
      <c r="D59" s="1512"/>
      <c r="E59" s="1512"/>
      <c r="F59" s="1512"/>
      <c r="G59" s="1512"/>
      <c r="H59" s="1512"/>
      <c r="M59" s="36"/>
      <c r="N59" s="36"/>
      <c r="O59" s="36"/>
      <c r="P59" s="36"/>
      <c r="Q59" s="36"/>
      <c r="R59" s="36"/>
      <c r="S59" s="36"/>
      <c r="T59" s="36"/>
    </row>
    <row r="60" spans="1:20" ht="16.5" customHeight="1" thickBot="1">
      <c r="A60" s="44"/>
      <c r="B60" s="44"/>
      <c r="C60" s="44"/>
      <c r="D60" s="44"/>
      <c r="E60" s="44"/>
      <c r="F60" s="44"/>
      <c r="G60" s="44"/>
      <c r="H60" s="44"/>
    </row>
    <row r="61" spans="1:20" ht="16.5" customHeight="1" thickBot="1">
      <c r="A61" s="67" t="s">
        <v>516</v>
      </c>
      <c r="B61" s="66" t="s">
        <v>464</v>
      </c>
      <c r="C61" s="67" t="s">
        <v>447</v>
      </c>
      <c r="D61" s="1509">
        <f>D54*D59</f>
        <v>0</v>
      </c>
      <c r="E61" s="1510"/>
      <c r="F61" s="1510"/>
      <c r="G61" s="1510"/>
      <c r="H61" s="1511"/>
    </row>
    <row r="62" spans="1:20" ht="16.5" customHeight="1" thickBot="1">
      <c r="A62" s="67" t="s">
        <v>517</v>
      </c>
      <c r="B62" s="66" t="s">
        <v>465</v>
      </c>
      <c r="C62" s="67" t="s">
        <v>447</v>
      </c>
      <c r="D62" s="1509">
        <f>D55*D59</f>
        <v>0</v>
      </c>
      <c r="E62" s="1510"/>
      <c r="F62" s="1510"/>
      <c r="G62" s="1510"/>
      <c r="H62" s="1511"/>
    </row>
    <row r="63" spans="1:20" ht="16.5" customHeight="1" thickBot="1">
      <c r="A63" s="44"/>
      <c r="B63" s="44"/>
      <c r="C63" s="44"/>
      <c r="D63" s="44"/>
      <c r="E63" s="44"/>
      <c r="F63" s="44"/>
      <c r="G63" s="44"/>
      <c r="H63" s="44"/>
    </row>
    <row r="64" spans="1:20" ht="24.75" customHeight="1" thickBot="1">
      <c r="A64" s="1098">
        <v>4</v>
      </c>
      <c r="B64" s="72" t="s">
        <v>519</v>
      </c>
      <c r="C64" s="67" t="s">
        <v>420</v>
      </c>
      <c r="D64" s="1506">
        <f>D61*D14+D17*D62</f>
        <v>0</v>
      </c>
      <c r="E64" s="1507"/>
      <c r="F64" s="1507"/>
      <c r="G64" s="1507"/>
      <c r="H64" s="1508"/>
    </row>
  </sheetData>
  <sheetProtection password="F66E" sheet="1" objects="1" scenarios="1" formatCells="0" formatColumns="0" formatRows="0"/>
  <mergeCells count="32">
    <mergeCell ref="Q17:R17"/>
    <mergeCell ref="Q18:R18"/>
    <mergeCell ref="D64:H64"/>
    <mergeCell ref="Q14:R14"/>
    <mergeCell ref="D61:H61"/>
    <mergeCell ref="D62:H62"/>
    <mergeCell ref="Q15:R15"/>
    <mergeCell ref="Q16:R16"/>
    <mergeCell ref="D59:H59"/>
    <mergeCell ref="E16:F16"/>
    <mergeCell ref="E17:F17"/>
    <mergeCell ref="E18:F18"/>
    <mergeCell ref="D24:D25"/>
    <mergeCell ref="E24:H24"/>
    <mergeCell ref="Q13:R13"/>
    <mergeCell ref="Q11:R11"/>
    <mergeCell ref="Q12:R12"/>
    <mergeCell ref="M1:R1"/>
    <mergeCell ref="M3:R3"/>
    <mergeCell ref="M5:R5"/>
    <mergeCell ref="C22:C25"/>
    <mergeCell ref="D22:H22"/>
    <mergeCell ref="D23:H23"/>
    <mergeCell ref="A22:A25"/>
    <mergeCell ref="B22:B25"/>
    <mergeCell ref="A3:F3"/>
    <mergeCell ref="A1:F1"/>
    <mergeCell ref="E11:F11"/>
    <mergeCell ref="E12:F12"/>
    <mergeCell ref="E15:F15"/>
    <mergeCell ref="E13:F13"/>
    <mergeCell ref="E14:F14"/>
  </mergeCells>
  <dataValidations count="1">
    <dataValidation type="decimal" operator="greaterThanOrEqual" allowBlank="1" showInputMessage="1" showErrorMessage="1" sqref="D29:H33 D36:H36 D38:H49">
      <formula1>0</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H16"/>
  <sheetViews>
    <sheetView workbookViewId="0">
      <selection sqref="A1:E1"/>
    </sheetView>
  </sheetViews>
  <sheetFormatPr defaultColWidth="10.28515625" defaultRowHeight="15.75"/>
  <cols>
    <col min="1" max="1" width="8.5703125" style="105" customWidth="1"/>
    <col min="2" max="2" width="34.7109375" style="105" customWidth="1"/>
    <col min="3" max="3" width="12.5703125" style="105" customWidth="1"/>
    <col min="4" max="4" width="20.140625" style="105" customWidth="1"/>
    <col min="5" max="5" width="22.7109375" style="105" customWidth="1"/>
    <col min="6" max="6" width="15.85546875" style="105" hidden="1" customWidth="1"/>
    <col min="7" max="7" width="19.85546875" style="105" hidden="1" customWidth="1"/>
    <col min="8" max="16384" width="10.28515625" style="105"/>
  </cols>
  <sheetData>
    <row r="1" spans="1:8" s="103" customFormat="1" ht="30.75" customHeight="1">
      <c r="A1" s="1515" t="s">
        <v>1784</v>
      </c>
      <c r="B1" s="1515"/>
      <c r="C1" s="1515"/>
      <c r="D1" s="1515"/>
      <c r="E1" s="1515"/>
      <c r="F1" s="113"/>
      <c r="G1" s="119"/>
    </row>
    <row r="2" spans="1:8" s="103" customFormat="1" ht="30.75" customHeight="1">
      <c r="A2" s="1516" t="str">
        <f>Титульный!B10</f>
        <v xml:space="preserve"> </v>
      </c>
      <c r="B2" s="1516"/>
      <c r="C2" s="1516"/>
      <c r="D2" s="1516"/>
      <c r="E2" s="1516"/>
      <c r="F2" s="114"/>
      <c r="G2" s="119"/>
    </row>
    <row r="3" spans="1:8" s="103" customFormat="1" ht="31.5" customHeight="1">
      <c r="A3" s="1514" t="str">
        <f>Титульный!B21</f>
        <v/>
      </c>
      <c r="B3" s="1514"/>
      <c r="C3" s="1514"/>
      <c r="D3" s="1100"/>
      <c r="E3" s="1100"/>
      <c r="F3" s="114"/>
      <c r="G3" s="119"/>
    </row>
    <row r="4" spans="1:8" s="103" customFormat="1" ht="31.5" customHeight="1">
      <c r="A4" s="115" t="s">
        <v>199</v>
      </c>
      <c r="B4" s="1101">
        <f>Титульный!B6</f>
        <v>0</v>
      </c>
      <c r="C4" s="1100"/>
      <c r="D4" s="1100" t="s">
        <v>200</v>
      </c>
      <c r="E4" s="1101">
        <f>Титульный!B7</f>
        <v>0</v>
      </c>
      <c r="F4" s="114"/>
      <c r="G4" s="119"/>
    </row>
    <row r="5" spans="1:8" s="103" customFormat="1">
      <c r="A5" s="104"/>
      <c r="B5" s="104"/>
      <c r="C5" s="336"/>
      <c r="D5" s="336"/>
      <c r="E5" s="336"/>
      <c r="F5" s="104"/>
      <c r="G5" s="104"/>
    </row>
    <row r="6" spans="1:8" ht="23.25" customHeight="1">
      <c r="A6" s="1501" t="s">
        <v>183</v>
      </c>
      <c r="B6" s="1501" t="s">
        <v>541</v>
      </c>
      <c r="C6" s="1501" t="s">
        <v>219</v>
      </c>
      <c r="D6" s="1095">
        <v>2016</v>
      </c>
      <c r="E6" s="1095">
        <v>2018</v>
      </c>
      <c r="F6" s="1105" t="s">
        <v>182</v>
      </c>
      <c r="G6" s="1098">
        <v>2018</v>
      </c>
    </row>
    <row r="7" spans="1:8" ht="52.5" customHeight="1">
      <c r="A7" s="1502"/>
      <c r="B7" s="1502"/>
      <c r="C7" s="1502"/>
      <c r="D7" s="1095" t="s">
        <v>376</v>
      </c>
      <c r="E7" s="1095" t="s">
        <v>396</v>
      </c>
      <c r="F7" s="606" t="s">
        <v>980</v>
      </c>
      <c r="G7" s="606" t="s">
        <v>1023</v>
      </c>
    </row>
    <row r="8" spans="1:8" ht="35.25" customHeight="1">
      <c r="A8" s="1502"/>
      <c r="B8" s="1502"/>
      <c r="C8" s="1502"/>
      <c r="D8" s="757" t="s">
        <v>547</v>
      </c>
      <c r="E8" s="757" t="s">
        <v>547</v>
      </c>
      <c r="F8" s="1243" t="s">
        <v>547</v>
      </c>
      <c r="G8" s="757" t="s">
        <v>547</v>
      </c>
    </row>
    <row r="9" spans="1:8" ht="34.5" customHeight="1">
      <c r="A9" s="1076" t="s">
        <v>387</v>
      </c>
      <c r="B9" s="393" t="s">
        <v>1785</v>
      </c>
      <c r="C9" s="1095" t="s">
        <v>542</v>
      </c>
      <c r="D9" s="854">
        <f>D11*D10</f>
        <v>0</v>
      </c>
      <c r="E9" s="854">
        <f>E11*E10</f>
        <v>0</v>
      </c>
      <c r="F9" s="854">
        <f>НВВ2017!E20</f>
        <v>0</v>
      </c>
      <c r="G9" s="106">
        <f>G10*G11</f>
        <v>0</v>
      </c>
    </row>
    <row r="10" spans="1:8" ht="37.5" customHeight="1">
      <c r="A10" s="1076" t="s">
        <v>311</v>
      </c>
      <c r="B10" s="395" t="s">
        <v>1786</v>
      </c>
      <c r="C10" s="1095" t="s">
        <v>543</v>
      </c>
      <c r="D10" s="1244"/>
      <c r="E10" s="854">
        <f>'баланс ВСН'!I38</f>
        <v>0</v>
      </c>
      <c r="F10" s="109"/>
      <c r="G10" s="854">
        <f>'баланс ВСН'!X38</f>
        <v>0</v>
      </c>
      <c r="H10" s="383"/>
    </row>
    <row r="11" spans="1:8" ht="37.5" customHeight="1">
      <c r="A11" s="1076" t="s">
        <v>207</v>
      </c>
      <c r="B11" s="395" t="s">
        <v>1787</v>
      </c>
      <c r="C11" s="1095" t="s">
        <v>544</v>
      </c>
      <c r="D11" s="1244"/>
      <c r="E11" s="1244"/>
      <c r="F11" s="854">
        <f>IF(F10=0,,F9/F10)</f>
        <v>0</v>
      </c>
      <c r="G11" s="108"/>
    </row>
    <row r="12" spans="1:8">
      <c r="A12" s="110"/>
      <c r="B12" s="111"/>
      <c r="C12" s="112"/>
      <c r="D12" s="112"/>
      <c r="E12" s="112"/>
      <c r="F12" s="1130">
        <f>IF(Титульный!B17="2016-2018",F9-НВВ2017!E20,F9-'НВВ базовый расчет'!H31)</f>
        <v>0</v>
      </c>
    </row>
    <row r="13" spans="1:8">
      <c r="A13" s="110"/>
      <c r="B13" s="111"/>
      <c r="C13" s="112"/>
      <c r="D13" s="112"/>
      <c r="E13" s="112"/>
    </row>
    <row r="14" spans="1:8">
      <c r="A14" s="110"/>
      <c r="B14" s="111"/>
      <c r="C14" s="112"/>
      <c r="D14" s="112"/>
      <c r="E14" s="112"/>
    </row>
    <row r="15" spans="1:8">
      <c r="A15" s="110"/>
      <c r="B15" s="110"/>
      <c r="C15" s="110"/>
      <c r="D15" s="110"/>
      <c r="E15" s="110"/>
    </row>
    <row r="16" spans="1:8">
      <c r="A16" s="110"/>
      <c r="B16" s="110"/>
      <c r="C16" s="110"/>
      <c r="D16" s="110"/>
      <c r="E16" s="110"/>
    </row>
  </sheetData>
  <sheetProtection password="F66E" sheet="1" objects="1" scenarios="1" formatCells="0" formatColumns="0" formatRows="0"/>
  <mergeCells count="6">
    <mergeCell ref="A3:C3"/>
    <mergeCell ref="A6:A8"/>
    <mergeCell ref="B6:B8"/>
    <mergeCell ref="C6:C8"/>
    <mergeCell ref="A1:E1"/>
    <mergeCell ref="A2:E2"/>
  </mergeCells>
  <dataValidations count="2">
    <dataValidation type="decimal" operator="greaterThanOrEqual" allowBlank="1" showInputMessage="1" showErrorMessage="1" sqref="F65519:G65524">
      <formula1>0</formula1>
    </dataValidation>
    <dataValidation type="list" allowBlank="1" showInputMessage="1" showErrorMessage="1" sqref="D8:E8 G8">
      <formula1>вид_воды</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G63"/>
  <sheetViews>
    <sheetView workbookViewId="0">
      <pane xSplit="2" ySplit="9" topLeftCell="C10" activePane="bottomRight" state="frozen"/>
      <selection pane="topRight" activeCell="E1" sqref="E1"/>
      <selection pane="bottomLeft" activeCell="A9" sqref="A9"/>
      <selection pane="bottomRight" sqref="A1:E1"/>
    </sheetView>
  </sheetViews>
  <sheetFormatPr defaultColWidth="5.42578125" defaultRowHeight="15.75" outlineLevelRow="1"/>
  <cols>
    <col min="1" max="1" width="8" style="105" customWidth="1"/>
    <col min="2" max="2" width="55.28515625" style="105" customWidth="1"/>
    <col min="3" max="3" width="12.140625" style="105" customWidth="1"/>
    <col min="4" max="4" width="19" style="105" customWidth="1"/>
    <col min="5" max="5" width="22.42578125" style="105" customWidth="1"/>
    <col min="6" max="6" width="23" style="105" hidden="1" customWidth="1"/>
    <col min="7" max="7" width="23.5703125" style="105" hidden="1" customWidth="1"/>
    <col min="8" max="239" width="10.28515625" style="105" customWidth="1"/>
    <col min="240" max="242" width="0" style="105" hidden="1" customWidth="1"/>
    <col min="243" max="243" width="2.42578125" style="105" customWidth="1"/>
    <col min="244" max="16384" width="5.42578125" style="105"/>
  </cols>
  <sheetData>
    <row r="1" spans="1:7" s="103" customFormat="1" ht="47.25" customHeight="1">
      <c r="A1" s="1517" t="s">
        <v>550</v>
      </c>
      <c r="B1" s="1517"/>
      <c r="C1" s="1517"/>
      <c r="D1" s="1517"/>
      <c r="E1" s="1517"/>
      <c r="F1" s="113"/>
      <c r="G1" s="119"/>
    </row>
    <row r="2" spans="1:7" s="103" customFormat="1" ht="15.75" customHeight="1">
      <c r="A2" s="1516" t="str">
        <f>Титульный!B10</f>
        <v xml:space="preserve"> </v>
      </c>
      <c r="B2" s="1516"/>
      <c r="C2" s="1516"/>
      <c r="D2" s="1516"/>
      <c r="E2" s="1516"/>
      <c r="F2" s="122"/>
      <c r="G2" s="119"/>
    </row>
    <row r="3" spans="1:7" s="103" customFormat="1">
      <c r="A3" s="1505" t="str">
        <f>Титульный!B21</f>
        <v/>
      </c>
      <c r="B3" s="1505"/>
      <c r="C3" s="1505"/>
      <c r="D3" s="1097"/>
      <c r="E3" s="1097"/>
      <c r="F3" s="50"/>
      <c r="G3" s="119"/>
    </row>
    <row r="4" spans="1:7" s="103" customFormat="1">
      <c r="A4" s="115" t="s">
        <v>199</v>
      </c>
      <c r="B4" s="1101">
        <f>Титульный!B6</f>
        <v>0</v>
      </c>
      <c r="C4" s="1100" t="s">
        <v>200</v>
      </c>
      <c r="D4" s="1101">
        <f>Титульный!B7</f>
        <v>0</v>
      </c>
      <c r="E4" s="1100"/>
      <c r="F4" s="50"/>
      <c r="G4" s="119"/>
    </row>
    <row r="5" spans="1:7" s="103" customFormat="1">
      <c r="A5" s="104"/>
      <c r="B5" s="104"/>
      <c r="C5" s="336"/>
      <c r="D5" s="336"/>
      <c r="E5" s="336"/>
      <c r="F5" s="104"/>
      <c r="G5" s="119"/>
    </row>
    <row r="6" spans="1:7">
      <c r="A6" s="1500" t="s">
        <v>183</v>
      </c>
      <c r="B6" s="1500" t="s">
        <v>541</v>
      </c>
      <c r="C6" s="1500" t="s">
        <v>219</v>
      </c>
      <c r="D6" s="1501">
        <v>2016</v>
      </c>
      <c r="E6" s="1501">
        <v>2018</v>
      </c>
      <c r="F6" s="1520" t="s">
        <v>182</v>
      </c>
      <c r="G6" s="1496">
        <v>2018</v>
      </c>
    </row>
    <row r="7" spans="1:7">
      <c r="A7" s="1500"/>
      <c r="B7" s="1500"/>
      <c r="C7" s="1500"/>
      <c r="D7" s="1503"/>
      <c r="E7" s="1503"/>
      <c r="F7" s="1521"/>
      <c r="G7" s="1496"/>
    </row>
    <row r="8" spans="1:7" ht="35.25" customHeight="1">
      <c r="A8" s="1500"/>
      <c r="B8" s="1500"/>
      <c r="C8" s="1500"/>
      <c r="D8" s="1501" t="s">
        <v>376</v>
      </c>
      <c r="E8" s="1501" t="s">
        <v>290</v>
      </c>
      <c r="F8" s="1518" t="s">
        <v>980</v>
      </c>
      <c r="G8" s="1518" t="s">
        <v>1023</v>
      </c>
    </row>
    <row r="9" spans="1:7">
      <c r="A9" s="1500"/>
      <c r="B9" s="1500"/>
      <c r="C9" s="1500"/>
      <c r="D9" s="1503"/>
      <c r="E9" s="1503"/>
      <c r="F9" s="1519"/>
      <c r="G9" s="1519"/>
    </row>
    <row r="10" spans="1:7" ht="31.5">
      <c r="A10" s="416" t="s">
        <v>387</v>
      </c>
      <c r="B10" s="85" t="s">
        <v>551</v>
      </c>
      <c r="C10" s="1095" t="s">
        <v>420</v>
      </c>
      <c r="D10" s="106">
        <f t="shared" ref="D10:E10" si="0">D11+D14</f>
        <v>0</v>
      </c>
      <c r="E10" s="106">
        <f t="shared" si="0"/>
        <v>0</v>
      </c>
      <c r="F10" s="106">
        <f t="shared" ref="F10:G10" si="1">F11+F14</f>
        <v>0</v>
      </c>
      <c r="G10" s="106">
        <f t="shared" si="1"/>
        <v>0</v>
      </c>
    </row>
    <row r="11" spans="1:7">
      <c r="A11" s="42" t="s">
        <v>224</v>
      </c>
      <c r="B11" s="120" t="s">
        <v>562</v>
      </c>
      <c r="C11" s="1076" t="s">
        <v>420</v>
      </c>
      <c r="D11" s="106">
        <f t="shared" ref="D11:G11" si="2">D12*D13</f>
        <v>0</v>
      </c>
      <c r="E11" s="106">
        <f t="shared" si="2"/>
        <v>0</v>
      </c>
      <c r="F11" s="106">
        <f t="shared" si="2"/>
        <v>0</v>
      </c>
      <c r="G11" s="106">
        <f t="shared" si="2"/>
        <v>0</v>
      </c>
    </row>
    <row r="12" spans="1:7">
      <c r="A12" s="397"/>
      <c r="B12" s="398" t="s">
        <v>552</v>
      </c>
      <c r="C12" s="37" t="s">
        <v>457</v>
      </c>
      <c r="D12" s="226"/>
      <c r="E12" s="226"/>
      <c r="F12" s="109"/>
      <c r="G12" s="109"/>
    </row>
    <row r="13" spans="1:7" ht="18.75">
      <c r="A13" s="40"/>
      <c r="B13" s="394" t="s">
        <v>554</v>
      </c>
      <c r="C13" s="37" t="s">
        <v>555</v>
      </c>
      <c r="D13" s="227"/>
      <c r="E13" s="227"/>
      <c r="F13" s="109"/>
      <c r="G13" s="109"/>
    </row>
    <row r="14" spans="1:7">
      <c r="A14" s="42" t="s">
        <v>226</v>
      </c>
      <c r="B14" s="120" t="s">
        <v>562</v>
      </c>
      <c r="C14" s="1076" t="s">
        <v>420</v>
      </c>
      <c r="D14" s="106">
        <f t="shared" ref="D14:G14" si="3">D15*D16</f>
        <v>0</v>
      </c>
      <c r="E14" s="106">
        <f t="shared" si="3"/>
        <v>0</v>
      </c>
      <c r="F14" s="106">
        <f t="shared" si="3"/>
        <v>0</v>
      </c>
      <c r="G14" s="106">
        <f t="shared" si="3"/>
        <v>0</v>
      </c>
    </row>
    <row r="15" spans="1:7">
      <c r="A15" s="397"/>
      <c r="B15" s="398" t="s">
        <v>552</v>
      </c>
      <c r="C15" s="37" t="s">
        <v>457</v>
      </c>
      <c r="D15" s="227"/>
      <c r="E15" s="227"/>
      <c r="F15" s="109"/>
      <c r="G15" s="109"/>
    </row>
    <row r="16" spans="1:7">
      <c r="A16" s="40"/>
      <c r="B16" s="394" t="s">
        <v>554</v>
      </c>
      <c r="C16" s="37" t="s">
        <v>563</v>
      </c>
      <c r="D16" s="227"/>
      <c r="E16" s="227"/>
      <c r="F16" s="109"/>
      <c r="G16" s="109"/>
    </row>
    <row r="17" spans="1:7">
      <c r="A17" s="40"/>
      <c r="B17" s="394"/>
      <c r="C17" s="37"/>
      <c r="D17" s="399"/>
      <c r="E17" s="399"/>
      <c r="F17" s="855"/>
      <c r="G17" s="855"/>
    </row>
    <row r="18" spans="1:7" ht="31.5">
      <c r="A18" s="1105" t="s">
        <v>311</v>
      </c>
      <c r="B18" s="393" t="s">
        <v>556</v>
      </c>
      <c r="C18" s="1095" t="s">
        <v>420</v>
      </c>
      <c r="D18" s="106">
        <f t="shared" ref="D18:E18" si="4">D19+D22</f>
        <v>0</v>
      </c>
      <c r="E18" s="106">
        <f t="shared" si="4"/>
        <v>0</v>
      </c>
      <c r="F18" s="106">
        <f t="shared" ref="F18:G18" si="5">F19+F22</f>
        <v>0</v>
      </c>
      <c r="G18" s="106">
        <f t="shared" si="5"/>
        <v>0</v>
      </c>
    </row>
    <row r="19" spans="1:7">
      <c r="A19" s="42" t="s">
        <v>428</v>
      </c>
      <c r="B19" s="120" t="s">
        <v>562</v>
      </c>
      <c r="C19" s="1076" t="s">
        <v>420</v>
      </c>
      <c r="D19" s="106">
        <f t="shared" ref="D19:E19" si="6">D20*D21</f>
        <v>0</v>
      </c>
      <c r="E19" s="106">
        <f t="shared" si="6"/>
        <v>0</v>
      </c>
      <c r="F19" s="106">
        <f t="shared" ref="F19:G19" si="7">F20*F21</f>
        <v>0</v>
      </c>
      <c r="G19" s="106">
        <f t="shared" si="7"/>
        <v>0</v>
      </c>
    </row>
    <row r="20" spans="1:7">
      <c r="A20" s="397"/>
      <c r="B20" s="398" t="s">
        <v>552</v>
      </c>
      <c r="C20" s="37" t="s">
        <v>457</v>
      </c>
      <c r="D20" s="227"/>
      <c r="E20" s="227"/>
      <c r="F20" s="109"/>
      <c r="G20" s="109"/>
    </row>
    <row r="21" spans="1:7">
      <c r="A21" s="40"/>
      <c r="B21" s="394" t="s">
        <v>554</v>
      </c>
      <c r="C21" s="37" t="s">
        <v>563</v>
      </c>
      <c r="D21" s="227"/>
      <c r="E21" s="227"/>
      <c r="F21" s="109"/>
      <c r="G21" s="109"/>
    </row>
    <row r="22" spans="1:7">
      <c r="A22" s="42" t="s">
        <v>431</v>
      </c>
      <c r="B22" s="120" t="s">
        <v>562</v>
      </c>
      <c r="C22" s="1076" t="s">
        <v>420</v>
      </c>
      <c r="D22" s="106">
        <f t="shared" ref="D22:G22" si="8">D23*D24</f>
        <v>0</v>
      </c>
      <c r="E22" s="106">
        <f t="shared" si="8"/>
        <v>0</v>
      </c>
      <c r="F22" s="106">
        <f t="shared" si="8"/>
        <v>0</v>
      </c>
      <c r="G22" s="106">
        <f t="shared" si="8"/>
        <v>0</v>
      </c>
    </row>
    <row r="23" spans="1:7">
      <c r="A23" s="397"/>
      <c r="B23" s="398" t="s">
        <v>552</v>
      </c>
      <c r="C23" s="37" t="s">
        <v>457</v>
      </c>
      <c r="D23" s="227"/>
      <c r="E23" s="227"/>
      <c r="F23" s="109"/>
      <c r="G23" s="109"/>
    </row>
    <row r="24" spans="1:7">
      <c r="A24" s="40"/>
      <c r="B24" s="394" t="s">
        <v>554</v>
      </c>
      <c r="C24" s="37" t="s">
        <v>563</v>
      </c>
      <c r="D24" s="227"/>
      <c r="E24" s="227"/>
      <c r="F24" s="109"/>
      <c r="G24" s="109"/>
    </row>
    <row r="25" spans="1:7">
      <c r="A25" s="40"/>
      <c r="B25" s="394"/>
      <c r="C25" s="37"/>
      <c r="D25" s="855"/>
      <c r="E25" s="855"/>
      <c r="F25" s="855"/>
      <c r="G25" s="855"/>
    </row>
    <row r="26" spans="1:7" ht="47.25">
      <c r="A26" s="1105" t="s">
        <v>207</v>
      </c>
      <c r="B26" s="393" t="s">
        <v>557</v>
      </c>
      <c r="C26" s="1095" t="s">
        <v>420</v>
      </c>
      <c r="D26" s="106">
        <f t="shared" ref="D26:E26" si="9">D27+D44</f>
        <v>0</v>
      </c>
      <c r="E26" s="106">
        <f t="shared" si="9"/>
        <v>0</v>
      </c>
      <c r="F26" s="106">
        <f t="shared" ref="F26:G26" si="10">F27+F44</f>
        <v>0</v>
      </c>
      <c r="G26" s="106">
        <f t="shared" si="10"/>
        <v>0</v>
      </c>
    </row>
    <row r="27" spans="1:7" ht="31.5">
      <c r="A27" s="1105" t="s">
        <v>232</v>
      </c>
      <c r="B27" s="393" t="s">
        <v>558</v>
      </c>
      <c r="C27" s="1095" t="s">
        <v>420</v>
      </c>
      <c r="D27" s="106">
        <f t="shared" ref="D27:E27" si="11">D28+D31+D34+D37+D40</f>
        <v>0</v>
      </c>
      <c r="E27" s="106">
        <f t="shared" si="11"/>
        <v>0</v>
      </c>
      <c r="F27" s="106">
        <f t="shared" ref="F27:G27" si="12">F28+F31+F34+F37+F40</f>
        <v>0</v>
      </c>
      <c r="G27" s="106">
        <f t="shared" si="12"/>
        <v>0</v>
      </c>
    </row>
    <row r="28" spans="1:7">
      <c r="A28" s="42" t="s">
        <v>1641</v>
      </c>
      <c r="B28" s="120" t="s">
        <v>562</v>
      </c>
      <c r="C28" s="1076" t="s">
        <v>420</v>
      </c>
      <c r="D28" s="106">
        <f t="shared" ref="D28:E28" si="13">D29*D30</f>
        <v>0</v>
      </c>
      <c r="E28" s="106">
        <f t="shared" si="13"/>
        <v>0</v>
      </c>
      <c r="F28" s="106">
        <f t="shared" ref="F28:G28" si="14">F29*F30</f>
        <v>0</v>
      </c>
      <c r="G28" s="106">
        <f t="shared" si="14"/>
        <v>0</v>
      </c>
    </row>
    <row r="29" spans="1:7">
      <c r="A29" s="42"/>
      <c r="B29" s="398" t="s">
        <v>552</v>
      </c>
      <c r="C29" s="37" t="s">
        <v>457</v>
      </c>
      <c r="D29" s="226"/>
      <c r="E29" s="226"/>
      <c r="F29" s="109"/>
      <c r="G29" s="109"/>
    </row>
    <row r="30" spans="1:7">
      <c r="A30" s="42"/>
      <c r="B30" s="394" t="s">
        <v>554</v>
      </c>
      <c r="C30" s="37" t="s">
        <v>563</v>
      </c>
      <c r="D30" s="227"/>
      <c r="E30" s="227"/>
      <c r="F30" s="109"/>
      <c r="G30" s="109"/>
    </row>
    <row r="31" spans="1:7">
      <c r="A31" s="42" t="s">
        <v>568</v>
      </c>
      <c r="B31" s="120" t="s">
        <v>562</v>
      </c>
      <c r="C31" s="1076" t="s">
        <v>420</v>
      </c>
      <c r="D31" s="106">
        <f t="shared" ref="D31:G31" si="15">D32*D33</f>
        <v>0</v>
      </c>
      <c r="E31" s="106">
        <f t="shared" si="15"/>
        <v>0</v>
      </c>
      <c r="F31" s="106">
        <f t="shared" si="15"/>
        <v>0</v>
      </c>
      <c r="G31" s="106">
        <f t="shared" si="15"/>
        <v>0</v>
      </c>
    </row>
    <row r="32" spans="1:7">
      <c r="A32" s="42"/>
      <c r="B32" s="398" t="s">
        <v>552</v>
      </c>
      <c r="C32" s="37" t="s">
        <v>457</v>
      </c>
      <c r="D32" s="227"/>
      <c r="E32" s="227"/>
      <c r="F32" s="109"/>
      <c r="G32" s="109"/>
    </row>
    <row r="33" spans="1:7">
      <c r="A33" s="42"/>
      <c r="B33" s="394" t="s">
        <v>554</v>
      </c>
      <c r="C33" s="37" t="s">
        <v>563</v>
      </c>
      <c r="D33" s="227"/>
      <c r="E33" s="227"/>
      <c r="F33" s="109"/>
      <c r="G33" s="109"/>
    </row>
    <row r="34" spans="1:7" outlineLevel="1">
      <c r="A34" s="42" t="s">
        <v>1642</v>
      </c>
      <c r="B34" s="120" t="s">
        <v>562</v>
      </c>
      <c r="C34" s="1076" t="s">
        <v>420</v>
      </c>
      <c r="D34" s="106">
        <f t="shared" ref="D34:G34" si="16">D35*D36</f>
        <v>0</v>
      </c>
      <c r="E34" s="106">
        <f t="shared" si="16"/>
        <v>0</v>
      </c>
      <c r="F34" s="106">
        <f t="shared" si="16"/>
        <v>0</v>
      </c>
      <c r="G34" s="106">
        <f t="shared" si="16"/>
        <v>0</v>
      </c>
    </row>
    <row r="35" spans="1:7" outlineLevel="1">
      <c r="A35" s="42"/>
      <c r="B35" s="398" t="s">
        <v>552</v>
      </c>
      <c r="C35" s="37" t="s">
        <v>457</v>
      </c>
      <c r="D35" s="226"/>
      <c r="E35" s="226"/>
      <c r="F35" s="109"/>
      <c r="G35" s="109"/>
    </row>
    <row r="36" spans="1:7" outlineLevel="1">
      <c r="A36" s="42"/>
      <c r="B36" s="394" t="s">
        <v>554</v>
      </c>
      <c r="C36" s="37" t="s">
        <v>563</v>
      </c>
      <c r="D36" s="227"/>
      <c r="E36" s="227"/>
      <c r="F36" s="109"/>
      <c r="G36" s="109"/>
    </row>
    <row r="37" spans="1:7" outlineLevel="1">
      <c r="A37" s="42" t="s">
        <v>1643</v>
      </c>
      <c r="B37" s="120" t="s">
        <v>562</v>
      </c>
      <c r="C37" s="1076" t="s">
        <v>420</v>
      </c>
      <c r="D37" s="106">
        <f t="shared" ref="D37:G37" si="17">D38*D39</f>
        <v>0</v>
      </c>
      <c r="E37" s="106">
        <f t="shared" si="17"/>
        <v>0</v>
      </c>
      <c r="F37" s="106">
        <f t="shared" si="17"/>
        <v>0</v>
      </c>
      <c r="G37" s="106">
        <f t="shared" si="17"/>
        <v>0</v>
      </c>
    </row>
    <row r="38" spans="1:7" outlineLevel="1">
      <c r="A38" s="42"/>
      <c r="B38" s="398" t="s">
        <v>552</v>
      </c>
      <c r="C38" s="37" t="s">
        <v>457</v>
      </c>
      <c r="D38" s="227"/>
      <c r="E38" s="227"/>
      <c r="F38" s="109"/>
      <c r="G38" s="109"/>
    </row>
    <row r="39" spans="1:7" outlineLevel="1">
      <c r="A39" s="42"/>
      <c r="B39" s="394" t="s">
        <v>554</v>
      </c>
      <c r="C39" s="37" t="s">
        <v>563</v>
      </c>
      <c r="D39" s="227"/>
      <c r="E39" s="227"/>
      <c r="F39" s="109"/>
      <c r="G39" s="109"/>
    </row>
    <row r="40" spans="1:7" outlineLevel="1">
      <c r="A40" s="42" t="s">
        <v>1644</v>
      </c>
      <c r="B40" s="120" t="s">
        <v>562</v>
      </c>
      <c r="C40" s="1076" t="s">
        <v>420</v>
      </c>
      <c r="D40" s="106">
        <f t="shared" ref="D40:G40" si="18">D41*D42</f>
        <v>0</v>
      </c>
      <c r="E40" s="106">
        <f t="shared" si="18"/>
        <v>0</v>
      </c>
      <c r="F40" s="106">
        <f t="shared" si="18"/>
        <v>0</v>
      </c>
      <c r="G40" s="106">
        <f t="shared" si="18"/>
        <v>0</v>
      </c>
    </row>
    <row r="41" spans="1:7" outlineLevel="1">
      <c r="A41" s="397"/>
      <c r="B41" s="398" t="s">
        <v>552</v>
      </c>
      <c r="C41" s="37" t="s">
        <v>457</v>
      </c>
      <c r="D41" s="227"/>
      <c r="E41" s="227"/>
      <c r="F41" s="109"/>
      <c r="G41" s="109"/>
    </row>
    <row r="42" spans="1:7" outlineLevel="1">
      <c r="A42" s="40"/>
      <c r="B42" s="394" t="s">
        <v>554</v>
      </c>
      <c r="C42" s="37" t="s">
        <v>563</v>
      </c>
      <c r="D42" s="227"/>
      <c r="E42" s="227"/>
      <c r="F42" s="109"/>
      <c r="G42" s="109"/>
    </row>
    <row r="43" spans="1:7">
      <c r="A43" s="40"/>
      <c r="B43" s="394"/>
      <c r="C43" s="37"/>
      <c r="D43" s="855"/>
      <c r="E43" s="855"/>
      <c r="F43" s="855"/>
      <c r="G43" s="855"/>
    </row>
    <row r="44" spans="1:7" ht="31.5">
      <c r="A44" s="1105" t="s">
        <v>233</v>
      </c>
      <c r="B44" s="393" t="s">
        <v>559</v>
      </c>
      <c r="C44" s="1095" t="s">
        <v>420</v>
      </c>
      <c r="D44" s="106">
        <f t="shared" ref="D44:E44" si="19">D45+D48+D51+D54+D57</f>
        <v>0</v>
      </c>
      <c r="E44" s="106">
        <f t="shared" si="19"/>
        <v>0</v>
      </c>
      <c r="F44" s="106">
        <f t="shared" ref="F44:G44" si="20">F45+F48+F51+F54+F57</f>
        <v>0</v>
      </c>
      <c r="G44" s="106">
        <f t="shared" si="20"/>
        <v>0</v>
      </c>
    </row>
    <row r="45" spans="1:7">
      <c r="A45" s="42" t="s">
        <v>1103</v>
      </c>
      <c r="B45" s="120" t="s">
        <v>562</v>
      </c>
      <c r="C45" s="1076" t="s">
        <v>420</v>
      </c>
      <c r="D45" s="106">
        <f t="shared" ref="D45:E45" si="21">D46*D47</f>
        <v>0</v>
      </c>
      <c r="E45" s="106">
        <f t="shared" si="21"/>
        <v>0</v>
      </c>
      <c r="F45" s="106">
        <f t="shared" ref="F45:G45" si="22">F46*F47</f>
        <v>0</v>
      </c>
      <c r="G45" s="106">
        <f t="shared" si="22"/>
        <v>0</v>
      </c>
    </row>
    <row r="46" spans="1:7">
      <c r="A46" s="42"/>
      <c r="B46" s="398" t="s">
        <v>552</v>
      </c>
      <c r="C46" s="37" t="s">
        <v>457</v>
      </c>
      <c r="D46" s="226"/>
      <c r="E46" s="226"/>
      <c r="F46" s="109"/>
      <c r="G46" s="109"/>
    </row>
    <row r="47" spans="1:7">
      <c r="A47" s="42"/>
      <c r="B47" s="394" t="s">
        <v>554</v>
      </c>
      <c r="C47" s="37" t="s">
        <v>563</v>
      </c>
      <c r="D47" s="227"/>
      <c r="E47" s="227"/>
      <c r="F47" s="109"/>
      <c r="G47" s="109"/>
    </row>
    <row r="48" spans="1:7">
      <c r="A48" s="42" t="s">
        <v>1645</v>
      </c>
      <c r="B48" s="120" t="s">
        <v>562</v>
      </c>
      <c r="C48" s="1076" t="s">
        <v>420</v>
      </c>
      <c r="D48" s="106">
        <f t="shared" ref="D48:G48" si="23">D49*D50</f>
        <v>0</v>
      </c>
      <c r="E48" s="106">
        <f t="shared" si="23"/>
        <v>0</v>
      </c>
      <c r="F48" s="106">
        <f t="shared" si="23"/>
        <v>0</v>
      </c>
      <c r="G48" s="106">
        <f t="shared" si="23"/>
        <v>0</v>
      </c>
    </row>
    <row r="49" spans="1:7">
      <c r="A49" s="42"/>
      <c r="B49" s="398" t="s">
        <v>552</v>
      </c>
      <c r="C49" s="37" t="s">
        <v>457</v>
      </c>
      <c r="D49" s="227"/>
      <c r="E49" s="227"/>
      <c r="F49" s="109"/>
      <c r="G49" s="109"/>
    </row>
    <row r="50" spans="1:7">
      <c r="A50" s="42"/>
      <c r="B50" s="394" t="s">
        <v>554</v>
      </c>
      <c r="C50" s="37" t="s">
        <v>563</v>
      </c>
      <c r="D50" s="227"/>
      <c r="E50" s="227"/>
      <c r="F50" s="109"/>
      <c r="G50" s="109"/>
    </row>
    <row r="51" spans="1:7" outlineLevel="1">
      <c r="A51" s="42" t="s">
        <v>1646</v>
      </c>
      <c r="B51" s="120" t="s">
        <v>562</v>
      </c>
      <c r="C51" s="1076" t="s">
        <v>420</v>
      </c>
      <c r="D51" s="106">
        <f t="shared" ref="D51:G51" si="24">D52*D53</f>
        <v>0</v>
      </c>
      <c r="E51" s="106">
        <f t="shared" si="24"/>
        <v>0</v>
      </c>
      <c r="F51" s="106">
        <f t="shared" si="24"/>
        <v>0</v>
      </c>
      <c r="G51" s="106">
        <f t="shared" si="24"/>
        <v>0</v>
      </c>
    </row>
    <row r="52" spans="1:7" outlineLevel="1">
      <c r="A52" s="42"/>
      <c r="B52" s="398" t="s">
        <v>552</v>
      </c>
      <c r="C52" s="37" t="s">
        <v>457</v>
      </c>
      <c r="D52" s="226"/>
      <c r="E52" s="226"/>
      <c r="F52" s="109"/>
      <c r="G52" s="109"/>
    </row>
    <row r="53" spans="1:7" outlineLevel="1">
      <c r="A53" s="42"/>
      <c r="B53" s="394" t="s">
        <v>554</v>
      </c>
      <c r="C53" s="37" t="s">
        <v>563</v>
      </c>
      <c r="D53" s="227"/>
      <c r="E53" s="227"/>
      <c r="F53" s="109"/>
      <c r="G53" s="109"/>
    </row>
    <row r="54" spans="1:7" outlineLevel="1">
      <c r="A54" s="42" t="s">
        <v>1647</v>
      </c>
      <c r="B54" s="120" t="s">
        <v>562</v>
      </c>
      <c r="C54" s="1076" t="s">
        <v>420</v>
      </c>
      <c r="D54" s="106">
        <f t="shared" ref="D54:G54" si="25">D55*D56</f>
        <v>0</v>
      </c>
      <c r="E54" s="106">
        <f t="shared" si="25"/>
        <v>0</v>
      </c>
      <c r="F54" s="106">
        <f t="shared" si="25"/>
        <v>0</v>
      </c>
      <c r="G54" s="106">
        <f t="shared" si="25"/>
        <v>0</v>
      </c>
    </row>
    <row r="55" spans="1:7" outlineLevel="1">
      <c r="A55" s="42"/>
      <c r="B55" s="398" t="s">
        <v>552</v>
      </c>
      <c r="C55" s="37" t="s">
        <v>457</v>
      </c>
      <c r="D55" s="227"/>
      <c r="E55" s="227"/>
      <c r="F55" s="109"/>
      <c r="G55" s="109"/>
    </row>
    <row r="56" spans="1:7" outlineLevel="1">
      <c r="A56" s="42"/>
      <c r="B56" s="394" t="s">
        <v>554</v>
      </c>
      <c r="C56" s="37" t="s">
        <v>563</v>
      </c>
      <c r="D56" s="227"/>
      <c r="E56" s="227"/>
      <c r="F56" s="109"/>
      <c r="G56" s="109"/>
    </row>
    <row r="57" spans="1:7" outlineLevel="1">
      <c r="A57" s="42" t="s">
        <v>1648</v>
      </c>
      <c r="B57" s="120" t="s">
        <v>562</v>
      </c>
      <c r="C57" s="1076" t="s">
        <v>420</v>
      </c>
      <c r="D57" s="106">
        <f t="shared" ref="D57:G57" si="26">D58*D59</f>
        <v>0</v>
      </c>
      <c r="E57" s="106">
        <f t="shared" si="26"/>
        <v>0</v>
      </c>
      <c r="F57" s="106">
        <f t="shared" si="26"/>
        <v>0</v>
      </c>
      <c r="G57" s="106">
        <f t="shared" si="26"/>
        <v>0</v>
      </c>
    </row>
    <row r="58" spans="1:7" outlineLevel="1">
      <c r="A58" s="42"/>
      <c r="B58" s="398" t="s">
        <v>552</v>
      </c>
      <c r="C58" s="37" t="s">
        <v>457</v>
      </c>
      <c r="D58" s="227"/>
      <c r="E58" s="227"/>
      <c r="F58" s="109"/>
      <c r="G58" s="109"/>
    </row>
    <row r="59" spans="1:7" outlineLevel="1">
      <c r="A59" s="40"/>
      <c r="B59" s="394" t="s">
        <v>554</v>
      </c>
      <c r="C59" s="37" t="s">
        <v>563</v>
      </c>
      <c r="D59" s="227"/>
      <c r="E59" s="227"/>
      <c r="F59" s="109"/>
      <c r="G59" s="109"/>
    </row>
    <row r="60" spans="1:7">
      <c r="A60" s="40"/>
      <c r="B60" s="394"/>
      <c r="C60" s="37"/>
      <c r="D60" s="855"/>
      <c r="E60" s="855"/>
      <c r="F60" s="855"/>
      <c r="G60" s="855"/>
    </row>
    <row r="61" spans="1:7" ht="31.5">
      <c r="A61" s="1105" t="s">
        <v>212</v>
      </c>
      <c r="B61" s="393" t="s">
        <v>560</v>
      </c>
      <c r="C61" s="1095" t="s">
        <v>420</v>
      </c>
      <c r="D61" s="106">
        <f t="shared" ref="D61:E61" si="27">D26+D10+D18</f>
        <v>0</v>
      </c>
      <c r="E61" s="106">
        <f t="shared" si="27"/>
        <v>0</v>
      </c>
      <c r="F61" s="106">
        <f>F26+F10+F18</f>
        <v>0</v>
      </c>
      <c r="G61" s="106">
        <f t="shared" ref="G61" si="28">G26+G10+G18</f>
        <v>0</v>
      </c>
    </row>
    <row r="62" spans="1:7">
      <c r="D62" s="1245"/>
      <c r="E62" s="1245"/>
      <c r="F62" s="1246">
        <f>IF(Титульный!B17="2016-2018",F10+F18-НВВ2017!E21,F10+F18-'НВВ базовый расчет'!H32)</f>
        <v>0</v>
      </c>
      <c r="G62" s="1245"/>
    </row>
    <row r="63" spans="1:7">
      <c r="F63" s="1246">
        <f>IF(Титульный!B17="2016-2018",F44-НВВ2017!E22,F44-'НВВ базовый расчет'!H33)</f>
        <v>0</v>
      </c>
    </row>
  </sheetData>
  <sheetProtection password="F66E" sheet="1" objects="1" scenarios="1" formatCells="0" formatColumns="0" formatRows="0"/>
  <mergeCells count="14">
    <mergeCell ref="A1:E1"/>
    <mergeCell ref="A2:E2"/>
    <mergeCell ref="F8:F9"/>
    <mergeCell ref="G8:G9"/>
    <mergeCell ref="A3:C3"/>
    <mergeCell ref="F6:F7"/>
    <mergeCell ref="G6:G7"/>
    <mergeCell ref="A6:A9"/>
    <mergeCell ref="B6:B9"/>
    <mergeCell ref="C6:C9"/>
    <mergeCell ref="D6:D7"/>
    <mergeCell ref="E6:E7"/>
    <mergeCell ref="D8:D9"/>
    <mergeCell ref="E8:E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dimension ref="A1:O41"/>
  <sheetViews>
    <sheetView workbookViewId="0">
      <selection sqref="A1:F1"/>
    </sheetView>
  </sheetViews>
  <sheetFormatPr defaultColWidth="10.28515625" defaultRowHeight="15.75"/>
  <cols>
    <col min="1" max="1" width="4.140625" style="3" customWidth="1"/>
    <col min="2" max="2" width="36.5703125" style="3" customWidth="1"/>
    <col min="3" max="3" width="25.5703125" style="3" customWidth="1"/>
    <col min="4" max="4" width="15.7109375" style="3" customWidth="1"/>
    <col min="5" max="5" width="14.140625" style="3" customWidth="1"/>
    <col min="6" max="6" width="18.7109375" style="3" customWidth="1"/>
    <col min="7" max="7" width="13.28515625" style="3" customWidth="1"/>
    <col min="8" max="8" width="11.140625" style="3" customWidth="1"/>
    <col min="9" max="9" width="14.28515625" style="3" customWidth="1"/>
    <col min="10" max="10" width="9.7109375" style="88" customWidth="1"/>
    <col min="11" max="11" width="13.7109375" style="88" customWidth="1"/>
    <col min="12" max="12" width="11.7109375" style="88" customWidth="1"/>
    <col min="13" max="13" width="11.42578125" style="94" customWidth="1"/>
    <col min="14" max="16384" width="10.28515625" style="3"/>
  </cols>
  <sheetData>
    <row r="1" spans="1:15" s="10" customFormat="1" ht="15.75" customHeight="1">
      <c r="A1" s="1522" t="s">
        <v>1791</v>
      </c>
      <c r="B1" s="1522"/>
      <c r="C1" s="1522"/>
      <c r="D1" s="1522"/>
      <c r="E1" s="1522"/>
      <c r="F1" s="1522"/>
      <c r="G1" s="98"/>
      <c r="H1" s="98"/>
      <c r="I1" s="98"/>
      <c r="J1" s="77"/>
      <c r="K1" s="77"/>
      <c r="L1" s="77"/>
      <c r="M1" s="78"/>
      <c r="N1" s="79"/>
      <c r="O1" s="79"/>
    </row>
    <row r="2" spans="1:15" s="10" customFormat="1" ht="15.75" customHeight="1">
      <c r="A2" s="1523" t="str">
        <f>Титульный!B10</f>
        <v xml:space="preserve"> </v>
      </c>
      <c r="B2" s="1523"/>
      <c r="C2" s="1523"/>
      <c r="D2" s="1523"/>
      <c r="E2" s="1523"/>
      <c r="F2" s="1523"/>
      <c r="G2" s="101"/>
      <c r="H2" s="101"/>
      <c r="I2" s="101"/>
      <c r="J2" s="77"/>
      <c r="K2" s="77"/>
      <c r="L2" s="77"/>
      <c r="M2" s="78"/>
      <c r="N2" s="79"/>
      <c r="O2" s="79"/>
    </row>
    <row r="3" spans="1:15" s="10" customFormat="1" ht="27.75" customHeight="1">
      <c r="A3" s="1524" t="str">
        <f>Титульный!B21</f>
        <v/>
      </c>
      <c r="B3" s="1524"/>
      <c r="C3" s="1524"/>
      <c r="D3" s="1524"/>
      <c r="E3" s="1524"/>
      <c r="F3" s="1524"/>
      <c r="G3" s="102"/>
      <c r="H3" s="102"/>
      <c r="I3" s="102"/>
      <c r="J3" s="77"/>
      <c r="K3" s="77"/>
      <c r="L3" s="77"/>
      <c r="M3" s="78"/>
      <c r="N3" s="79"/>
      <c r="O3" s="79"/>
    </row>
    <row r="4" spans="1:15" s="10" customFormat="1" ht="15.75" customHeight="1">
      <c r="A4" s="11"/>
      <c r="B4" s="607" t="s">
        <v>199</v>
      </c>
      <c r="C4" s="99">
        <f>Титульный!B6</f>
        <v>0</v>
      </c>
      <c r="D4" s="98" t="s">
        <v>200</v>
      </c>
      <c r="E4" s="99">
        <f>Титульный!B7</f>
        <v>0</v>
      </c>
      <c r="F4" s="97"/>
      <c r="G4" s="97"/>
      <c r="H4" s="97"/>
      <c r="I4" s="97"/>
      <c r="J4" s="77"/>
      <c r="K4" s="77"/>
      <c r="L4" s="77"/>
      <c r="M4" s="78"/>
      <c r="N4" s="79"/>
      <c r="O4" s="79"/>
    </row>
    <row r="5" spans="1:15">
      <c r="A5" s="80"/>
      <c r="B5" s="80"/>
      <c r="C5" s="80"/>
      <c r="D5" s="80"/>
      <c r="E5" s="80"/>
      <c r="F5" s="80"/>
      <c r="G5" s="81"/>
      <c r="H5" s="81"/>
      <c r="I5" s="81"/>
      <c r="J5" s="334"/>
      <c r="K5" s="334"/>
      <c r="L5" s="334"/>
      <c r="M5" s="78"/>
      <c r="N5" s="82"/>
      <c r="O5" s="82"/>
    </row>
    <row r="6" spans="1:15" ht="33.75" customHeight="1">
      <c r="A6" s="1525" t="s">
        <v>533</v>
      </c>
      <c r="B6" s="1525" t="s">
        <v>534</v>
      </c>
      <c r="C6" s="1525" t="s">
        <v>535</v>
      </c>
      <c r="D6" s="1525" t="s">
        <v>468</v>
      </c>
      <c r="E6" s="1525"/>
      <c r="F6" s="1525"/>
      <c r="G6" s="1526" t="s">
        <v>1596</v>
      </c>
      <c r="H6" s="1527"/>
      <c r="I6" s="1528"/>
      <c r="J6" s="334"/>
      <c r="K6" s="334"/>
      <c r="L6" s="334"/>
      <c r="M6" s="78"/>
      <c r="N6" s="82"/>
      <c r="O6" s="82"/>
    </row>
    <row r="7" spans="1:15" ht="33.75" customHeight="1">
      <c r="A7" s="1525"/>
      <c r="B7" s="1525"/>
      <c r="C7" s="1525"/>
      <c r="D7" s="1525"/>
      <c r="E7" s="1525"/>
      <c r="F7" s="1525"/>
      <c r="G7" s="1529"/>
      <c r="H7" s="1530"/>
      <c r="I7" s="1531"/>
      <c r="J7" s="334"/>
      <c r="K7" s="334"/>
      <c r="L7" s="334"/>
      <c r="M7" s="78"/>
      <c r="N7" s="82"/>
      <c r="O7" s="82"/>
    </row>
    <row r="8" spans="1:15" ht="49.5" customHeight="1">
      <c r="A8" s="1525"/>
      <c r="B8" s="1525"/>
      <c r="C8" s="1525"/>
      <c r="D8" s="1104" t="s">
        <v>536</v>
      </c>
      <c r="E8" s="1104" t="s">
        <v>537</v>
      </c>
      <c r="F8" s="1104" t="s">
        <v>538</v>
      </c>
      <c r="G8" s="1104" t="s">
        <v>536</v>
      </c>
      <c r="H8" s="1104" t="s">
        <v>537</v>
      </c>
      <c r="I8" s="1104" t="s">
        <v>538</v>
      </c>
      <c r="J8" s="334"/>
      <c r="K8" s="334"/>
      <c r="L8" s="334"/>
      <c r="M8" s="78"/>
      <c r="N8" s="82"/>
      <c r="O8" s="82"/>
    </row>
    <row r="9" spans="1:15" ht="17.25" customHeight="1">
      <c r="A9" s="83"/>
      <c r="B9" s="1112">
        <v>2016</v>
      </c>
      <c r="C9" s="1541" t="s">
        <v>1069</v>
      </c>
      <c r="D9" s="1539"/>
      <c r="E9" s="1539"/>
      <c r="F9" s="1540"/>
      <c r="G9" s="1535"/>
      <c r="H9" s="1369"/>
      <c r="I9" s="1370"/>
      <c r="J9" s="334"/>
      <c r="K9" s="334"/>
      <c r="L9" s="334"/>
      <c r="M9" s="78"/>
      <c r="N9" s="82"/>
      <c r="O9" s="82"/>
    </row>
    <row r="10" spans="1:15">
      <c r="A10" s="86">
        <v>1</v>
      </c>
      <c r="B10" s="86"/>
      <c r="C10" s="86"/>
      <c r="D10" s="316"/>
      <c r="E10" s="316"/>
      <c r="F10" s="317">
        <f>D10*E10</f>
        <v>0</v>
      </c>
      <c r="G10" s="317"/>
      <c r="H10" s="317"/>
      <c r="I10" s="317"/>
      <c r="M10" s="89"/>
      <c r="N10" s="90"/>
    </row>
    <row r="11" spans="1:15">
      <c r="A11" s="86"/>
      <c r="B11" s="86"/>
      <c r="C11" s="86"/>
      <c r="D11" s="316"/>
      <c r="E11" s="316"/>
      <c r="F11" s="317">
        <f t="shared" ref="F11:F15" si="0">D11*E11</f>
        <v>0</v>
      </c>
      <c r="G11" s="317"/>
      <c r="H11" s="317"/>
      <c r="I11" s="317"/>
      <c r="M11" s="89"/>
      <c r="N11" s="90"/>
    </row>
    <row r="12" spans="1:15">
      <c r="A12" s="86"/>
      <c r="B12" s="86"/>
      <c r="C12" s="86"/>
      <c r="D12" s="316"/>
      <c r="E12" s="316"/>
      <c r="F12" s="317">
        <f t="shared" si="0"/>
        <v>0</v>
      </c>
      <c r="G12" s="317"/>
      <c r="H12" s="317"/>
      <c r="I12" s="317"/>
      <c r="J12" s="91" t="s">
        <v>539</v>
      </c>
      <c r="M12" s="89"/>
      <c r="N12" s="90"/>
    </row>
    <row r="13" spans="1:15">
      <c r="A13" s="86"/>
      <c r="B13" s="86"/>
      <c r="C13" s="86"/>
      <c r="D13" s="316"/>
      <c r="E13" s="316"/>
      <c r="F13" s="317">
        <f t="shared" si="0"/>
        <v>0</v>
      </c>
      <c r="G13" s="317"/>
      <c r="H13" s="317"/>
      <c r="I13" s="317"/>
      <c r="M13" s="89"/>
      <c r="N13" s="90"/>
    </row>
    <row r="14" spans="1:15">
      <c r="A14" s="86"/>
      <c r="B14" s="86"/>
      <c r="C14" s="86"/>
      <c r="D14" s="316"/>
      <c r="E14" s="316"/>
      <c r="F14" s="317">
        <f t="shared" si="0"/>
        <v>0</v>
      </c>
      <c r="G14" s="317"/>
      <c r="H14" s="317"/>
      <c r="I14" s="317"/>
      <c r="M14" s="89"/>
      <c r="N14" s="90"/>
    </row>
    <row r="15" spans="1:15">
      <c r="A15" s="86"/>
      <c r="B15" s="86"/>
      <c r="C15" s="86"/>
      <c r="D15" s="316"/>
      <c r="E15" s="316"/>
      <c r="F15" s="317">
        <f t="shared" si="0"/>
        <v>0</v>
      </c>
      <c r="G15" s="317"/>
      <c r="H15" s="317"/>
      <c r="I15" s="317"/>
      <c r="M15" s="89"/>
      <c r="N15" s="90"/>
    </row>
    <row r="16" spans="1:15" ht="15" customHeight="1">
      <c r="A16" s="92"/>
      <c r="B16" s="93" t="s">
        <v>520</v>
      </c>
      <c r="C16" s="93" t="s">
        <v>480</v>
      </c>
      <c r="D16" s="318">
        <f>SUM(D10:D15)</f>
        <v>0</v>
      </c>
      <c r="E16" s="318" t="s">
        <v>480</v>
      </c>
      <c r="F16" s="318">
        <f>SUM(F10:F15)</f>
        <v>0</v>
      </c>
      <c r="G16" s="319" t="s">
        <v>480</v>
      </c>
      <c r="H16" s="319" t="s">
        <v>480</v>
      </c>
      <c r="I16" s="319" t="s">
        <v>480</v>
      </c>
      <c r="M16" s="94" t="s">
        <v>540</v>
      </c>
    </row>
    <row r="17" spans="1:15" ht="17.25" hidden="1" customHeight="1">
      <c r="A17" s="83"/>
      <c r="B17" s="1112">
        <f>'баланс базового периода'!F8</f>
        <v>0</v>
      </c>
      <c r="C17" s="84">
        <f>'баланс базового периода'!H7</f>
        <v>0</v>
      </c>
      <c r="D17" s="320"/>
      <c r="E17" s="320"/>
      <c r="F17" s="320"/>
      <c r="G17" s="321"/>
      <c r="H17" s="321"/>
      <c r="I17" s="321"/>
      <c r="J17" s="334"/>
      <c r="K17" s="334"/>
      <c r="L17" s="334"/>
      <c r="M17" s="78"/>
      <c r="N17" s="82"/>
      <c r="O17" s="82"/>
    </row>
    <row r="18" spans="1:15" hidden="1">
      <c r="A18" s="87"/>
      <c r="B18" s="87"/>
      <c r="C18" s="87"/>
      <c r="D18" s="317"/>
      <c r="E18" s="317"/>
      <c r="F18" s="317"/>
      <c r="G18" s="317" t="e">
        <f>#REF!+#REF!</f>
        <v>#REF!</v>
      </c>
      <c r="H18" s="317" t="e">
        <f>IF(G18=0,0,I18/G18)</f>
        <v>#REF!</v>
      </c>
      <c r="I18" s="317" t="e">
        <f>G18*H18</f>
        <v>#REF!</v>
      </c>
      <c r="M18" s="89"/>
      <c r="N18" s="90"/>
    </row>
    <row r="19" spans="1:15" hidden="1">
      <c r="A19" s="87"/>
      <c r="B19" s="87"/>
      <c r="C19" s="87"/>
      <c r="D19" s="317"/>
      <c r="E19" s="317"/>
      <c r="F19" s="317"/>
      <c r="G19" s="317" t="e">
        <f>#REF!+#REF!</f>
        <v>#REF!</v>
      </c>
      <c r="H19" s="317" t="e">
        <f t="shared" ref="H19:H24" si="1">IF(G19=0,0,I19/G19)</f>
        <v>#REF!</v>
      </c>
      <c r="I19" s="317" t="e">
        <f t="shared" ref="I19:I23" si="2">G19*H19</f>
        <v>#REF!</v>
      </c>
      <c r="M19" s="89"/>
      <c r="N19" s="90"/>
    </row>
    <row r="20" spans="1:15" hidden="1">
      <c r="A20" s="87"/>
      <c r="B20" s="87"/>
      <c r="C20" s="87"/>
      <c r="D20" s="317"/>
      <c r="E20" s="317"/>
      <c r="F20" s="317"/>
      <c r="G20" s="317" t="e">
        <f>#REF!+#REF!</f>
        <v>#REF!</v>
      </c>
      <c r="H20" s="317" t="e">
        <f t="shared" si="1"/>
        <v>#REF!</v>
      </c>
      <c r="I20" s="317" t="e">
        <f t="shared" si="2"/>
        <v>#REF!</v>
      </c>
      <c r="M20" s="89"/>
      <c r="N20" s="90"/>
    </row>
    <row r="21" spans="1:15" hidden="1">
      <c r="A21" s="87"/>
      <c r="B21" s="87"/>
      <c r="C21" s="87"/>
      <c r="D21" s="317"/>
      <c r="E21" s="317"/>
      <c r="F21" s="317"/>
      <c r="G21" s="317" t="e">
        <f>#REF!+#REF!</f>
        <v>#REF!</v>
      </c>
      <c r="H21" s="317" t="e">
        <f t="shared" si="1"/>
        <v>#REF!</v>
      </c>
      <c r="I21" s="317" t="e">
        <f t="shared" si="2"/>
        <v>#REF!</v>
      </c>
      <c r="J21" s="91" t="s">
        <v>539</v>
      </c>
      <c r="M21" s="89"/>
      <c r="N21" s="90"/>
    </row>
    <row r="22" spans="1:15" hidden="1">
      <c r="A22" s="87"/>
      <c r="B22" s="87"/>
      <c r="C22" s="87"/>
      <c r="D22" s="317"/>
      <c r="E22" s="317"/>
      <c r="F22" s="317"/>
      <c r="G22" s="317" t="e">
        <f>#REF!+#REF!</f>
        <v>#REF!</v>
      </c>
      <c r="H22" s="317" t="e">
        <f t="shared" si="1"/>
        <v>#REF!</v>
      </c>
      <c r="I22" s="317" t="e">
        <f t="shared" si="2"/>
        <v>#REF!</v>
      </c>
      <c r="M22" s="89"/>
      <c r="N22" s="90"/>
    </row>
    <row r="23" spans="1:15" hidden="1">
      <c r="A23" s="87"/>
      <c r="B23" s="87"/>
      <c r="C23" s="87"/>
      <c r="D23" s="317"/>
      <c r="E23" s="317"/>
      <c r="F23" s="317"/>
      <c r="G23" s="317" t="e">
        <f>#REF!+#REF!</f>
        <v>#REF!</v>
      </c>
      <c r="H23" s="317" t="e">
        <f t="shared" si="1"/>
        <v>#REF!</v>
      </c>
      <c r="I23" s="317" t="e">
        <f t="shared" si="2"/>
        <v>#REF!</v>
      </c>
      <c r="M23" s="89"/>
      <c r="N23" s="90"/>
    </row>
    <row r="24" spans="1:15" ht="15" hidden="1" customHeight="1">
      <c r="A24" s="92"/>
      <c r="B24" s="93" t="s">
        <v>520</v>
      </c>
      <c r="C24" s="93" t="s">
        <v>480</v>
      </c>
      <c r="D24" s="318">
        <f>SUM(D18:D23)</f>
        <v>0</v>
      </c>
      <c r="E24" s="318" t="s">
        <v>480</v>
      </c>
      <c r="F24" s="318">
        <f>SUM(F18:F23)</f>
        <v>0</v>
      </c>
      <c r="G24" s="318" t="e">
        <f>SUM(G18:G23)</f>
        <v>#REF!</v>
      </c>
      <c r="H24" s="317" t="e">
        <f t="shared" si="1"/>
        <v>#REF!</v>
      </c>
      <c r="I24" s="319" t="e">
        <f>SUM(I18:I23)</f>
        <v>#REF!</v>
      </c>
      <c r="M24" s="94" t="s">
        <v>540</v>
      </c>
    </row>
    <row r="25" spans="1:15" ht="15" hidden="1" customHeight="1">
      <c r="A25" s="95"/>
      <c r="B25" s="1102">
        <v>2017</v>
      </c>
      <c r="C25" s="96"/>
      <c r="D25" s="323"/>
      <c r="E25" s="323"/>
      <c r="F25" s="323"/>
      <c r="G25" s="1532" t="s">
        <v>980</v>
      </c>
      <c r="H25" s="1533"/>
      <c r="I25" s="1534"/>
      <c r="M25" s="89"/>
      <c r="N25" s="90"/>
    </row>
    <row r="26" spans="1:15" ht="15" hidden="1" customHeight="1">
      <c r="A26" s="1247"/>
      <c r="B26" s="1248"/>
      <c r="C26" s="1248"/>
      <c r="D26" s="318"/>
      <c r="E26" s="318"/>
      <c r="F26" s="317">
        <f t="shared" ref="F26:F31" si="3">D26*E26</f>
        <v>0</v>
      </c>
      <c r="G26" s="324"/>
      <c r="H26" s="322"/>
      <c r="I26" s="317">
        <f t="shared" ref="I26:I31" si="4">G26*H26</f>
        <v>0</v>
      </c>
      <c r="M26" s="89"/>
      <c r="N26" s="90"/>
    </row>
    <row r="27" spans="1:15" ht="15" hidden="1" customHeight="1">
      <c r="A27" s="1247"/>
      <c r="B27" s="1248"/>
      <c r="C27" s="1248"/>
      <c r="D27" s="318"/>
      <c r="E27" s="318"/>
      <c r="F27" s="317">
        <f t="shared" si="3"/>
        <v>0</v>
      </c>
      <c r="G27" s="324"/>
      <c r="H27" s="322"/>
      <c r="I27" s="317">
        <f t="shared" si="4"/>
        <v>0</v>
      </c>
      <c r="M27" s="89"/>
      <c r="N27" s="90"/>
    </row>
    <row r="28" spans="1:15" ht="15" hidden="1" customHeight="1">
      <c r="A28" s="1247"/>
      <c r="B28" s="1248"/>
      <c r="C28" s="1248"/>
      <c r="D28" s="318"/>
      <c r="E28" s="318"/>
      <c r="F28" s="317">
        <f t="shared" si="3"/>
        <v>0</v>
      </c>
      <c r="G28" s="324"/>
      <c r="H28" s="322"/>
      <c r="I28" s="317">
        <f t="shared" si="4"/>
        <v>0</v>
      </c>
      <c r="M28" s="89"/>
      <c r="N28" s="90"/>
    </row>
    <row r="29" spans="1:15" ht="15" hidden="1" customHeight="1">
      <c r="A29" s="1247"/>
      <c r="B29" s="1248"/>
      <c r="C29" s="1248"/>
      <c r="D29" s="318"/>
      <c r="E29" s="318"/>
      <c r="F29" s="317">
        <f t="shared" si="3"/>
        <v>0</v>
      </c>
      <c r="G29" s="324"/>
      <c r="H29" s="322"/>
      <c r="I29" s="317">
        <f t="shared" si="4"/>
        <v>0</v>
      </c>
      <c r="J29" s="91" t="s">
        <v>539</v>
      </c>
      <c r="M29" s="89"/>
      <c r="N29" s="90"/>
    </row>
    <row r="30" spans="1:15" ht="15" hidden="1" customHeight="1">
      <c r="A30" s="1247"/>
      <c r="B30" s="1248"/>
      <c r="C30" s="1248"/>
      <c r="D30" s="318"/>
      <c r="E30" s="318"/>
      <c r="F30" s="317">
        <f t="shared" si="3"/>
        <v>0</v>
      </c>
      <c r="G30" s="324"/>
      <c r="H30" s="322"/>
      <c r="I30" s="317">
        <f t="shared" si="4"/>
        <v>0</v>
      </c>
      <c r="M30" s="89"/>
      <c r="N30" s="90"/>
    </row>
    <row r="31" spans="1:15" ht="15" hidden="1" customHeight="1">
      <c r="A31" s="1247"/>
      <c r="B31" s="1248"/>
      <c r="C31" s="1248"/>
      <c r="D31" s="318"/>
      <c r="E31" s="318"/>
      <c r="F31" s="317">
        <f t="shared" si="3"/>
        <v>0</v>
      </c>
      <c r="G31" s="324"/>
      <c r="H31" s="322"/>
      <c r="I31" s="317">
        <f t="shared" si="4"/>
        <v>0</v>
      </c>
      <c r="M31" s="89"/>
      <c r="N31" s="90"/>
    </row>
    <row r="32" spans="1:15" ht="15" hidden="1" customHeight="1">
      <c r="A32" s="93"/>
      <c r="B32" s="93" t="s">
        <v>520</v>
      </c>
      <c r="C32" s="93" t="s">
        <v>480</v>
      </c>
      <c r="D32" s="318">
        <f>SUM(D26:D31)</f>
        <v>0</v>
      </c>
      <c r="E32" s="318" t="s">
        <v>480</v>
      </c>
      <c r="F32" s="318">
        <f>SUM(F26:F31)</f>
        <v>0</v>
      </c>
      <c r="G32" s="318">
        <f>SUM(G26:G31)</f>
        <v>0</v>
      </c>
      <c r="H32" s="318" t="s">
        <v>480</v>
      </c>
      <c r="I32" s="318">
        <f>SUM(I26:I31)</f>
        <v>0</v>
      </c>
      <c r="J32" s="1246">
        <f>IF(Титульный!B17="2016-2018",I32-НВВ2017!E19,I32-'НВВ базовый расчет'!H30)</f>
        <v>0</v>
      </c>
      <c r="M32" s="89"/>
      <c r="N32" s="90"/>
    </row>
    <row r="33" spans="1:14">
      <c r="A33" s="95"/>
      <c r="B33" s="1102">
        <v>2018</v>
      </c>
      <c r="C33" s="1539" t="s">
        <v>1651</v>
      </c>
      <c r="D33" s="1539"/>
      <c r="E33" s="1539"/>
      <c r="F33" s="1540"/>
      <c r="G33" s="1536">
        <f>B33</f>
        <v>2018</v>
      </c>
      <c r="H33" s="1537"/>
      <c r="I33" s="1538"/>
      <c r="M33" s="89"/>
      <c r="N33" s="90"/>
    </row>
    <row r="34" spans="1:14" ht="15" customHeight="1">
      <c r="A34" s="86">
        <v>1</v>
      </c>
      <c r="B34" s="86"/>
      <c r="C34" s="86"/>
      <c r="D34" s="316"/>
      <c r="E34" s="316"/>
      <c r="F34" s="1351">
        <f t="shared" ref="F34:F40" si="5">D34*E34</f>
        <v>0</v>
      </c>
      <c r="G34" s="324"/>
      <c r="H34" s="322"/>
      <c r="I34" s="317">
        <f t="shared" ref="I34:I40" si="6">G34*H34</f>
        <v>0</v>
      </c>
      <c r="M34" s="89"/>
      <c r="N34" s="90"/>
    </row>
    <row r="35" spans="1:14" ht="15" customHeight="1">
      <c r="A35" s="86"/>
      <c r="B35" s="86"/>
      <c r="C35" s="86"/>
      <c r="D35" s="316"/>
      <c r="E35" s="316"/>
      <c r="F35" s="1351">
        <f t="shared" si="5"/>
        <v>0</v>
      </c>
      <c r="G35" s="324"/>
      <c r="H35" s="322"/>
      <c r="I35" s="317">
        <f t="shared" si="6"/>
        <v>0</v>
      </c>
      <c r="M35" s="89"/>
      <c r="N35" s="90"/>
    </row>
    <row r="36" spans="1:14" ht="15" customHeight="1">
      <c r="A36" s="86"/>
      <c r="B36" s="86"/>
      <c r="C36" s="86"/>
      <c r="D36" s="316"/>
      <c r="E36" s="316"/>
      <c r="F36" s="1351">
        <f t="shared" si="5"/>
        <v>0</v>
      </c>
      <c r="G36" s="324"/>
      <c r="H36" s="322"/>
      <c r="I36" s="317">
        <f t="shared" si="6"/>
        <v>0</v>
      </c>
      <c r="J36" s="91" t="s">
        <v>539</v>
      </c>
      <c r="M36" s="89"/>
      <c r="N36" s="90"/>
    </row>
    <row r="37" spans="1:14" ht="15" customHeight="1">
      <c r="A37" s="1347"/>
      <c r="B37" s="1347"/>
      <c r="C37" s="1347"/>
      <c r="D37" s="1348"/>
      <c r="E37" s="1348"/>
      <c r="F37" s="1351">
        <f t="shared" si="5"/>
        <v>0</v>
      </c>
      <c r="G37" s="1349"/>
      <c r="H37" s="1350"/>
      <c r="I37" s="317">
        <f t="shared" si="6"/>
        <v>0</v>
      </c>
      <c r="J37" s="91"/>
      <c r="M37" s="89"/>
      <c r="N37" s="90"/>
    </row>
    <row r="38" spans="1:14" ht="15" customHeight="1">
      <c r="A38" s="86"/>
      <c r="B38" s="86"/>
      <c r="C38" s="86"/>
      <c r="D38" s="316"/>
      <c r="E38" s="316"/>
      <c r="F38" s="1351">
        <f t="shared" si="5"/>
        <v>0</v>
      </c>
      <c r="G38" s="324"/>
      <c r="H38" s="322"/>
      <c r="I38" s="317">
        <f t="shared" si="6"/>
        <v>0</v>
      </c>
      <c r="M38" s="89"/>
      <c r="N38" s="90"/>
    </row>
    <row r="39" spans="1:14" ht="15" customHeight="1">
      <c r="A39" s="86"/>
      <c r="B39" s="86"/>
      <c r="C39" s="86"/>
      <c r="D39" s="316"/>
      <c r="E39" s="316"/>
      <c r="F39" s="1351">
        <f t="shared" si="5"/>
        <v>0</v>
      </c>
      <c r="G39" s="324"/>
      <c r="H39" s="322"/>
      <c r="I39" s="317">
        <f t="shared" si="6"/>
        <v>0</v>
      </c>
      <c r="M39" s="89"/>
      <c r="N39" s="90"/>
    </row>
    <row r="40" spans="1:14" ht="15" customHeight="1">
      <c r="A40" s="86"/>
      <c r="B40" s="86"/>
      <c r="C40" s="86"/>
      <c r="D40" s="316"/>
      <c r="E40" s="316"/>
      <c r="F40" s="1351">
        <f t="shared" si="5"/>
        <v>0</v>
      </c>
      <c r="G40" s="324"/>
      <c r="H40" s="322"/>
      <c r="I40" s="317">
        <f t="shared" si="6"/>
        <v>0</v>
      </c>
      <c r="M40" s="89"/>
      <c r="N40" s="90"/>
    </row>
    <row r="41" spans="1:14" ht="15" customHeight="1">
      <c r="A41" s="93"/>
      <c r="B41" s="93" t="s">
        <v>520</v>
      </c>
      <c r="C41" s="93" t="s">
        <v>480</v>
      </c>
      <c r="D41" s="318">
        <f>SUM(D34:D40)</f>
        <v>0</v>
      </c>
      <c r="E41" s="318" t="s">
        <v>480</v>
      </c>
      <c r="F41" s="318">
        <f>SUM(F34:F40)</f>
        <v>0</v>
      </c>
      <c r="G41" s="318">
        <f>SUM(G34:G40)</f>
        <v>0</v>
      </c>
      <c r="H41" s="318" t="s">
        <v>480</v>
      </c>
      <c r="I41" s="318">
        <f>SUM(I34:I40)</f>
        <v>0</v>
      </c>
      <c r="M41" s="89"/>
      <c r="N41" s="90"/>
    </row>
  </sheetData>
  <sheetProtection password="F66E" sheet="1" objects="1" scenarios="1" formatColumns="0" formatRows="0" insertRows="0"/>
  <mergeCells count="13">
    <mergeCell ref="G6:I7"/>
    <mergeCell ref="G25:I25"/>
    <mergeCell ref="G9:I9"/>
    <mergeCell ref="G33:I33"/>
    <mergeCell ref="C33:F33"/>
    <mergeCell ref="C9:F9"/>
    <mergeCell ref="A1:F1"/>
    <mergeCell ref="A2:F2"/>
    <mergeCell ref="A3:F3"/>
    <mergeCell ref="A6:A8"/>
    <mergeCell ref="B6:B8"/>
    <mergeCell ref="C6:C8"/>
    <mergeCell ref="D6:F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G24"/>
  <sheetViews>
    <sheetView workbookViewId="0">
      <selection sqref="A1:E1"/>
    </sheetView>
  </sheetViews>
  <sheetFormatPr defaultColWidth="5.42578125" defaultRowHeight="15.75"/>
  <cols>
    <col min="1" max="1" width="8" style="105" customWidth="1"/>
    <col min="2" max="2" width="40.28515625" style="105" customWidth="1"/>
    <col min="3" max="3" width="12.140625" style="105" customWidth="1"/>
    <col min="4" max="4" width="18.7109375" style="105" customWidth="1"/>
    <col min="5" max="5" width="19.140625" style="105" customWidth="1"/>
    <col min="6" max="6" width="18.140625" style="105" hidden="1" customWidth="1"/>
    <col min="7" max="7" width="18.28515625" style="105" hidden="1" customWidth="1"/>
    <col min="8" max="241" width="10.28515625" style="105" customWidth="1"/>
    <col min="242" max="244" width="0" style="105" hidden="1" customWidth="1"/>
    <col min="245" max="245" width="2.42578125" style="105" customWidth="1"/>
    <col min="246" max="16384" width="5.42578125" style="105"/>
  </cols>
  <sheetData>
    <row r="1" spans="1:7" s="103" customFormat="1" ht="28.5" customHeight="1">
      <c r="A1" s="1515" t="s">
        <v>571</v>
      </c>
      <c r="B1" s="1515"/>
      <c r="C1" s="1515"/>
      <c r="D1" s="1515"/>
      <c r="E1" s="1515"/>
      <c r="F1" s="113"/>
      <c r="G1" s="119"/>
    </row>
    <row r="2" spans="1:7" s="103" customFormat="1">
      <c r="A2" s="1516" t="str">
        <f>Титульный!B10</f>
        <v xml:space="preserve"> </v>
      </c>
      <c r="B2" s="1516"/>
      <c r="C2" s="1516"/>
      <c r="D2" s="1516"/>
      <c r="E2" s="1516"/>
      <c r="F2" s="114"/>
      <c r="G2" s="119"/>
    </row>
    <row r="3" spans="1:7" s="103" customFormat="1" ht="21.75" customHeight="1">
      <c r="A3" s="1544" t="str">
        <f>Титульный!B21</f>
        <v/>
      </c>
      <c r="B3" s="1544"/>
      <c r="C3" s="1544"/>
      <c r="D3" s="1544"/>
      <c r="E3" s="1544"/>
      <c r="F3" s="50"/>
      <c r="G3" s="119"/>
    </row>
    <row r="4" spans="1:7" s="103" customFormat="1" ht="15.75" customHeight="1">
      <c r="A4" s="50"/>
      <c r="B4" s="50"/>
      <c r="C4" s="50"/>
      <c r="D4" s="50"/>
      <c r="E4" s="50"/>
      <c r="F4" s="50"/>
      <c r="G4" s="119"/>
    </row>
    <row r="5" spans="1:7" s="103" customFormat="1">
      <c r="A5" s="607" t="s">
        <v>199</v>
      </c>
      <c r="B5" s="100">
        <f>Титульный!B6</f>
        <v>0</v>
      </c>
      <c r="C5" s="98" t="s">
        <v>200</v>
      </c>
      <c r="D5" s="100">
        <f>Титульный!B7</f>
        <v>0</v>
      </c>
      <c r="E5" s="1097"/>
      <c r="F5" s="1097"/>
      <c r="G5" s="119"/>
    </row>
    <row r="6" spans="1:7" s="103" customFormat="1">
      <c r="A6" s="104"/>
      <c r="B6" s="104"/>
      <c r="C6" s="336"/>
      <c r="D6" s="104"/>
      <c r="E6" s="104"/>
      <c r="F6" s="104"/>
      <c r="G6" s="119"/>
    </row>
    <row r="7" spans="1:7" ht="10.5" customHeight="1">
      <c r="A7" s="1500" t="s">
        <v>183</v>
      </c>
      <c r="B7" s="1500" t="s">
        <v>541</v>
      </c>
      <c r="C7" s="1500" t="s">
        <v>219</v>
      </c>
      <c r="D7" s="1542" t="s">
        <v>381</v>
      </c>
      <c r="E7" s="1543">
        <f>D7+2</f>
        <v>2018</v>
      </c>
      <c r="F7" s="1518">
        <v>2017</v>
      </c>
      <c r="G7" s="1496">
        <v>2018</v>
      </c>
    </row>
    <row r="8" spans="1:7">
      <c r="A8" s="1500"/>
      <c r="B8" s="1500"/>
      <c r="C8" s="1500"/>
      <c r="D8" s="1500"/>
      <c r="E8" s="1543"/>
      <c r="F8" s="1519"/>
      <c r="G8" s="1496"/>
    </row>
    <row r="9" spans="1:7" ht="15.75" customHeight="1">
      <c r="A9" s="1500"/>
      <c r="B9" s="1500"/>
      <c r="C9" s="1500"/>
      <c r="D9" s="1500" t="s">
        <v>376</v>
      </c>
      <c r="E9" s="1500" t="s">
        <v>290</v>
      </c>
      <c r="F9" s="1518" t="s">
        <v>980</v>
      </c>
      <c r="G9" s="1518" t="s">
        <v>1023</v>
      </c>
    </row>
    <row r="10" spans="1:7" ht="33" customHeight="1">
      <c r="A10" s="1500"/>
      <c r="B10" s="1500"/>
      <c r="C10" s="1500"/>
      <c r="D10" s="1500"/>
      <c r="E10" s="1500"/>
      <c r="F10" s="1519"/>
      <c r="G10" s="1519"/>
    </row>
    <row r="11" spans="1:7">
      <c r="A11" s="1105" t="s">
        <v>387</v>
      </c>
      <c r="B11" s="400" t="s">
        <v>569</v>
      </c>
      <c r="C11" s="1076" t="s">
        <v>542</v>
      </c>
      <c r="D11" s="106">
        <f>D12*D13</f>
        <v>0</v>
      </c>
      <c r="E11" s="106">
        <f>E12*E13</f>
        <v>0</v>
      </c>
      <c r="F11" s="108"/>
      <c r="G11" s="121">
        <f>G12*G13</f>
        <v>0</v>
      </c>
    </row>
    <row r="12" spans="1:7">
      <c r="A12" s="402" t="s">
        <v>190</v>
      </c>
      <c r="B12" s="403" t="s">
        <v>564</v>
      </c>
      <c r="C12" s="123"/>
      <c r="D12" s="123"/>
      <c r="E12" s="123"/>
      <c r="F12" s="124"/>
      <c r="G12" s="109"/>
    </row>
    <row r="13" spans="1:7">
      <c r="A13" s="40" t="s">
        <v>191</v>
      </c>
      <c r="B13" s="398" t="s">
        <v>565</v>
      </c>
      <c r="C13" s="123"/>
      <c r="D13" s="107"/>
      <c r="E13" s="107"/>
      <c r="F13" s="109"/>
      <c r="G13" s="109"/>
    </row>
    <row r="14" spans="1:7">
      <c r="A14" s="1105" t="s">
        <v>311</v>
      </c>
      <c r="B14" s="393" t="s">
        <v>696</v>
      </c>
      <c r="C14" s="1095" t="s">
        <v>542</v>
      </c>
      <c r="D14" s="106">
        <f>D15*D16</f>
        <v>0</v>
      </c>
      <c r="E14" s="106">
        <f>E15*E16</f>
        <v>0</v>
      </c>
      <c r="F14" s="108"/>
      <c r="G14" s="121">
        <f>G15*G16</f>
        <v>0</v>
      </c>
    </row>
    <row r="15" spans="1:7" ht="18.75">
      <c r="A15" s="40" t="s">
        <v>193</v>
      </c>
      <c r="B15" s="398" t="s">
        <v>552</v>
      </c>
      <c r="C15" s="404" t="s">
        <v>549</v>
      </c>
      <c r="D15" s="325"/>
      <c r="E15" s="325"/>
      <c r="F15" s="124"/>
      <c r="G15" s="109"/>
    </row>
    <row r="16" spans="1:7" ht="18.75">
      <c r="A16" s="40" t="s">
        <v>194</v>
      </c>
      <c r="B16" s="398" t="s">
        <v>565</v>
      </c>
      <c r="C16" s="37" t="s">
        <v>555</v>
      </c>
      <c r="D16" s="325"/>
      <c r="E16" s="107"/>
      <c r="F16" s="109"/>
      <c r="G16" s="109"/>
    </row>
    <row r="17" spans="1:7">
      <c r="A17" s="1105" t="s">
        <v>207</v>
      </c>
      <c r="B17" s="393" t="s">
        <v>566</v>
      </c>
      <c r="C17" s="1095" t="s">
        <v>542</v>
      </c>
      <c r="D17" s="106">
        <f>D18*D19</f>
        <v>0</v>
      </c>
      <c r="E17" s="106">
        <f>E18*E19</f>
        <v>0</v>
      </c>
      <c r="F17" s="108"/>
      <c r="G17" s="121">
        <f>G18*G19</f>
        <v>0</v>
      </c>
    </row>
    <row r="18" spans="1:7" ht="18.75">
      <c r="A18" s="42" t="s">
        <v>232</v>
      </c>
      <c r="B18" s="398" t="s">
        <v>567</v>
      </c>
      <c r="C18" s="37" t="s">
        <v>553</v>
      </c>
      <c r="D18" s="325"/>
      <c r="E18" s="325"/>
      <c r="F18" s="124"/>
      <c r="G18" s="109"/>
    </row>
    <row r="19" spans="1:7" ht="18.75">
      <c r="A19" s="40" t="s">
        <v>568</v>
      </c>
      <c r="B19" s="398" t="s">
        <v>565</v>
      </c>
      <c r="C19" s="37" t="s">
        <v>555</v>
      </c>
      <c r="D19" s="325"/>
      <c r="E19" s="107"/>
      <c r="F19" s="109"/>
      <c r="G19" s="109"/>
    </row>
    <row r="20" spans="1:7">
      <c r="A20" s="1105" t="s">
        <v>212</v>
      </c>
      <c r="B20" s="393" t="s">
        <v>570</v>
      </c>
      <c r="C20" s="1095" t="s">
        <v>542</v>
      </c>
      <c r="D20" s="854">
        <f>D11+D14+D17</f>
        <v>0</v>
      </c>
      <c r="E20" s="854">
        <f>E11+E14+E17</f>
        <v>0</v>
      </c>
      <c r="F20" s="108"/>
      <c r="G20" s="106">
        <f>G11+G14+G17</f>
        <v>0</v>
      </c>
    </row>
    <row r="21" spans="1:7">
      <c r="F21" s="1246">
        <f>IF(Титульный!B17="2016-2018",F20-НВВ2017!E23,F20-'НВВ базовый расчет'!H34)</f>
        <v>0</v>
      </c>
    </row>
    <row r="23" spans="1:7">
      <c r="B23" s="401"/>
    </row>
    <row r="24" spans="1:7">
      <c r="B24" s="401"/>
    </row>
  </sheetData>
  <sheetProtection password="F66E" sheet="1" objects="1" scenarios="1" formatCells="0" formatColumns="0" formatRows="0"/>
  <mergeCells count="14">
    <mergeCell ref="A1:E1"/>
    <mergeCell ref="A2:E2"/>
    <mergeCell ref="A3:E3"/>
    <mergeCell ref="F7:F8"/>
    <mergeCell ref="G7:G8"/>
    <mergeCell ref="G9:G10"/>
    <mergeCell ref="F9:F10"/>
    <mergeCell ref="D9:D10"/>
    <mergeCell ref="E9:E10"/>
    <mergeCell ref="A7:A10"/>
    <mergeCell ref="B7:B10"/>
    <mergeCell ref="C7:C10"/>
    <mergeCell ref="D7:D8"/>
    <mergeCell ref="E7:E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L94"/>
  <sheetViews>
    <sheetView workbookViewId="0">
      <selection sqref="A1:H1"/>
    </sheetView>
  </sheetViews>
  <sheetFormatPr defaultRowHeight="15"/>
  <cols>
    <col min="1" max="1" width="7.140625" style="223" customWidth="1"/>
    <col min="2" max="2" width="30" style="223" customWidth="1"/>
    <col min="3" max="3" width="18.42578125" style="223" customWidth="1"/>
    <col min="4" max="4" width="13.7109375" style="223" customWidth="1"/>
    <col min="5" max="5" width="15.28515625" style="223" customWidth="1"/>
    <col min="6" max="6" width="15" style="223" customWidth="1"/>
    <col min="7" max="7" width="13.85546875" style="223" customWidth="1"/>
    <col min="8" max="8" width="15.140625" style="223" customWidth="1"/>
    <col min="9" max="9" width="14.28515625" style="223" hidden="1" customWidth="1"/>
    <col min="10" max="10" width="16" style="223" hidden="1" customWidth="1"/>
    <col min="11" max="11" width="14.140625" style="223" hidden="1" customWidth="1"/>
    <col min="12" max="16384" width="9.140625" style="223"/>
  </cols>
  <sheetData>
    <row r="1" spans="1:11" ht="20.25" customHeight="1">
      <c r="A1" s="1545" t="s">
        <v>585</v>
      </c>
      <c r="B1" s="1545"/>
      <c r="C1" s="1545"/>
      <c r="D1" s="1545"/>
      <c r="E1" s="1545"/>
      <c r="F1" s="1545"/>
      <c r="G1" s="1545"/>
      <c r="H1" s="1545"/>
      <c r="I1" s="173"/>
      <c r="J1" s="173"/>
      <c r="K1" s="173"/>
    </row>
    <row r="2" spans="1:11" ht="15.75">
      <c r="A2" s="1523" t="str">
        <f>Титульный!B10</f>
        <v xml:space="preserve"> </v>
      </c>
      <c r="B2" s="1523"/>
      <c r="C2" s="1523"/>
      <c r="D2" s="1523"/>
      <c r="E2" s="1523"/>
      <c r="F2" s="1523"/>
      <c r="G2" s="1523"/>
      <c r="H2" s="1523"/>
      <c r="I2" s="173"/>
      <c r="J2" s="173"/>
      <c r="K2" s="173"/>
    </row>
    <row r="3" spans="1:11" ht="18.75" customHeight="1">
      <c r="A3" s="1546" t="str">
        <f>Титульный!B21</f>
        <v/>
      </c>
      <c r="B3" s="1546"/>
      <c r="C3" s="1546"/>
      <c r="D3" s="1546"/>
      <c r="E3" s="1546"/>
      <c r="F3" s="1546"/>
      <c r="G3" s="1546"/>
      <c r="H3" s="1546"/>
      <c r="I3" s="173"/>
      <c r="J3" s="173"/>
      <c r="K3" s="173"/>
    </row>
    <row r="4" spans="1:11" ht="11.25" customHeight="1">
      <c r="A4" s="1103"/>
      <c r="B4" s="1103"/>
      <c r="C4" s="1103"/>
      <c r="D4" s="1103"/>
      <c r="E4" s="1103"/>
      <c r="F4" s="1103"/>
      <c r="G4" s="173"/>
      <c r="H4" s="173"/>
      <c r="I4" s="173"/>
      <c r="J4" s="173"/>
      <c r="K4" s="173"/>
    </row>
    <row r="5" spans="1:11" ht="15.75">
      <c r="A5" s="11"/>
      <c r="B5" s="607" t="s">
        <v>199</v>
      </c>
      <c r="C5" s="99">
        <f>Титульный!B6</f>
        <v>0</v>
      </c>
      <c r="D5" s="173"/>
      <c r="E5" s="173"/>
      <c r="F5" s="98" t="s">
        <v>200</v>
      </c>
      <c r="G5" s="99">
        <f>Титульный!B7</f>
        <v>0</v>
      </c>
      <c r="H5" s="173"/>
      <c r="I5" s="173"/>
      <c r="J5" s="173"/>
      <c r="K5" s="173"/>
    </row>
    <row r="6" spans="1:11" ht="12.75" customHeight="1">
      <c r="A6" s="11"/>
      <c r="B6" s="607"/>
      <c r="C6" s="99"/>
      <c r="D6" s="173"/>
      <c r="E6" s="173"/>
      <c r="F6" s="98"/>
      <c r="G6" s="99"/>
      <c r="H6" s="173"/>
      <c r="I6" s="173"/>
      <c r="J6" s="173"/>
      <c r="K6" s="173"/>
    </row>
    <row r="7" spans="1:11" ht="15.75">
      <c r="A7" s="11"/>
      <c r="B7" s="129" t="s">
        <v>583</v>
      </c>
      <c r="C7" s="99"/>
      <c r="D7" s="173"/>
      <c r="E7" s="173"/>
      <c r="F7" s="98"/>
      <c r="G7" s="99"/>
      <c r="H7" s="173"/>
      <c r="I7" s="173"/>
      <c r="J7" s="173"/>
      <c r="K7" s="173"/>
    </row>
    <row r="8" spans="1:11" ht="15" customHeight="1">
      <c r="A8" s="1525" t="s">
        <v>533</v>
      </c>
      <c r="B8" s="1525" t="s">
        <v>576</v>
      </c>
      <c r="C8" s="1525" t="s">
        <v>577</v>
      </c>
      <c r="D8" s="1525" t="s">
        <v>578</v>
      </c>
      <c r="E8" s="1525" t="s">
        <v>1132</v>
      </c>
      <c r="F8" s="1525"/>
      <c r="G8" s="1525" t="s">
        <v>1133</v>
      </c>
      <c r="H8" s="1525"/>
      <c r="I8" s="1104" t="s">
        <v>1650</v>
      </c>
      <c r="J8" s="1525" t="s">
        <v>1133</v>
      </c>
      <c r="K8" s="1525"/>
    </row>
    <row r="9" spans="1:11" ht="36" customHeight="1">
      <c r="A9" s="1525"/>
      <c r="B9" s="1525"/>
      <c r="C9" s="1525"/>
      <c r="D9" s="1525"/>
      <c r="E9" s="1525" t="s">
        <v>376</v>
      </c>
      <c r="F9" s="1525"/>
      <c r="G9" s="1525" t="s">
        <v>290</v>
      </c>
      <c r="H9" s="1525"/>
      <c r="I9" s="1104" t="s">
        <v>980</v>
      </c>
      <c r="J9" s="1525" t="s">
        <v>1023</v>
      </c>
      <c r="K9" s="1525"/>
    </row>
    <row r="10" spans="1:11" ht="31.5">
      <c r="A10" s="1525"/>
      <c r="B10" s="1525"/>
      <c r="C10" s="1525"/>
      <c r="D10" s="1525"/>
      <c r="E10" s="128" t="s">
        <v>579</v>
      </c>
      <c r="F10" s="1104" t="s">
        <v>580</v>
      </c>
      <c r="G10" s="128" t="s">
        <v>579</v>
      </c>
      <c r="H10" s="1104" t="s">
        <v>580</v>
      </c>
      <c r="I10" s="128" t="s">
        <v>581</v>
      </c>
      <c r="J10" s="128" t="s">
        <v>579</v>
      </c>
      <c r="K10" s="1104" t="s">
        <v>580</v>
      </c>
    </row>
    <row r="11" spans="1:11">
      <c r="A11" s="405" t="s">
        <v>190</v>
      </c>
      <c r="B11" s="576"/>
      <c r="C11" s="410"/>
      <c r="D11" s="411"/>
      <c r="E11" s="411"/>
      <c r="F11" s="411"/>
      <c r="G11" s="411"/>
      <c r="H11" s="1352">
        <f>D11*G11</f>
        <v>0</v>
      </c>
      <c r="I11" s="412"/>
      <c r="J11" s="412">
        <f>G11</f>
        <v>0</v>
      </c>
      <c r="K11" s="406">
        <f>D11*J11</f>
        <v>0</v>
      </c>
    </row>
    <row r="12" spans="1:11">
      <c r="A12" s="405" t="s">
        <v>191</v>
      </c>
      <c r="B12" s="576"/>
      <c r="C12" s="410"/>
      <c r="D12" s="411"/>
      <c r="E12" s="411"/>
      <c r="F12" s="411"/>
      <c r="G12" s="411"/>
      <c r="H12" s="1352">
        <f t="shared" ref="H12:H63" si="0">D12*G12</f>
        <v>0</v>
      </c>
      <c r="I12" s="412"/>
      <c r="J12" s="412">
        <f>G12</f>
        <v>0</v>
      </c>
      <c r="K12" s="406">
        <f t="shared" ref="K12:K63" si="1">D12*J12</f>
        <v>0</v>
      </c>
    </row>
    <row r="13" spans="1:11">
      <c r="A13" s="405" t="s">
        <v>192</v>
      </c>
      <c r="B13" s="576"/>
      <c r="C13" s="410"/>
      <c r="D13" s="411"/>
      <c r="E13" s="411"/>
      <c r="F13" s="411"/>
      <c r="G13" s="411"/>
      <c r="H13" s="1352">
        <f t="shared" si="0"/>
        <v>0</v>
      </c>
      <c r="I13" s="412"/>
      <c r="J13" s="412">
        <f>G13</f>
        <v>0</v>
      </c>
      <c r="K13" s="406">
        <f t="shared" si="1"/>
        <v>0</v>
      </c>
    </row>
    <row r="14" spans="1:11">
      <c r="A14" s="405" t="s">
        <v>201</v>
      </c>
      <c r="B14" s="576"/>
      <c r="C14" s="410"/>
      <c r="D14" s="411"/>
      <c r="E14" s="411"/>
      <c r="F14" s="411"/>
      <c r="G14" s="411"/>
      <c r="H14" s="1352">
        <f t="shared" si="0"/>
        <v>0</v>
      </c>
      <c r="I14" s="412"/>
      <c r="J14" s="412">
        <f>G14</f>
        <v>0</v>
      </c>
      <c r="K14" s="406">
        <f t="shared" si="1"/>
        <v>0</v>
      </c>
    </row>
    <row r="15" spans="1:11">
      <c r="A15" s="405" t="s">
        <v>202</v>
      </c>
      <c r="B15" s="576"/>
      <c r="C15" s="410"/>
      <c r="D15" s="411"/>
      <c r="E15" s="411"/>
      <c r="F15" s="411"/>
      <c r="G15" s="411"/>
      <c r="H15" s="1352">
        <f t="shared" si="0"/>
        <v>0</v>
      </c>
      <c r="I15" s="412"/>
      <c r="J15" s="412">
        <f>G15</f>
        <v>0</v>
      </c>
      <c r="K15" s="406">
        <f t="shared" si="1"/>
        <v>0</v>
      </c>
    </row>
    <row r="16" spans="1:11">
      <c r="A16" s="405" t="s">
        <v>1028</v>
      </c>
      <c r="B16" s="576"/>
      <c r="C16" s="410"/>
      <c r="D16" s="411"/>
      <c r="E16" s="411"/>
      <c r="F16" s="577"/>
      <c r="G16" s="411"/>
      <c r="H16" s="1352">
        <f t="shared" si="0"/>
        <v>0</v>
      </c>
      <c r="I16" s="412"/>
      <c r="J16" s="412">
        <f t="shared" ref="J16:J63" si="2">G16</f>
        <v>0</v>
      </c>
      <c r="K16" s="406">
        <f t="shared" si="1"/>
        <v>0</v>
      </c>
    </row>
    <row r="17" spans="1:12">
      <c r="A17" s="405" t="s">
        <v>1029</v>
      </c>
      <c r="B17" s="576"/>
      <c r="C17" s="410"/>
      <c r="D17" s="411"/>
      <c r="E17" s="411"/>
      <c r="F17" s="411"/>
      <c r="G17" s="411"/>
      <c r="H17" s="1352">
        <f t="shared" si="0"/>
        <v>0</v>
      </c>
      <c r="I17" s="412"/>
      <c r="J17" s="412">
        <f t="shared" si="2"/>
        <v>0</v>
      </c>
      <c r="K17" s="406">
        <f t="shared" si="1"/>
        <v>0</v>
      </c>
    </row>
    <row r="18" spans="1:12">
      <c r="A18" s="405" t="s">
        <v>1030</v>
      </c>
      <c r="B18" s="576"/>
      <c r="C18" s="410"/>
      <c r="D18" s="411"/>
      <c r="E18" s="411"/>
      <c r="F18" s="411"/>
      <c r="G18" s="411"/>
      <c r="H18" s="1352">
        <f t="shared" si="0"/>
        <v>0</v>
      </c>
      <c r="I18" s="412"/>
      <c r="J18" s="412">
        <f t="shared" si="2"/>
        <v>0</v>
      </c>
      <c r="K18" s="406">
        <f t="shared" si="1"/>
        <v>0</v>
      </c>
    </row>
    <row r="19" spans="1:12">
      <c r="A19" s="405" t="s">
        <v>1031</v>
      </c>
      <c r="B19" s="576"/>
      <c r="C19" s="410"/>
      <c r="D19" s="411"/>
      <c r="E19" s="411"/>
      <c r="F19" s="411"/>
      <c r="G19" s="411"/>
      <c r="H19" s="1352">
        <f t="shared" si="0"/>
        <v>0</v>
      </c>
      <c r="I19" s="412"/>
      <c r="J19" s="412">
        <f t="shared" si="2"/>
        <v>0</v>
      </c>
      <c r="K19" s="406">
        <f t="shared" si="1"/>
        <v>0</v>
      </c>
      <c r="L19" s="413" t="s">
        <v>539</v>
      </c>
    </row>
    <row r="20" spans="1:12">
      <c r="A20" s="405" t="s">
        <v>1032</v>
      </c>
      <c r="B20" s="576"/>
      <c r="C20" s="410"/>
      <c r="D20" s="411"/>
      <c r="E20" s="411"/>
      <c r="F20" s="411"/>
      <c r="G20" s="411"/>
      <c r="H20" s="1352">
        <f t="shared" si="0"/>
        <v>0</v>
      </c>
      <c r="I20" s="412"/>
      <c r="J20" s="412">
        <f t="shared" si="2"/>
        <v>0</v>
      </c>
      <c r="K20" s="406">
        <f t="shared" ref="K20:K52" si="3">D20*J20</f>
        <v>0</v>
      </c>
      <c r="L20" s="413"/>
    </row>
    <row r="21" spans="1:12">
      <c r="A21" s="405" t="s">
        <v>1033</v>
      </c>
      <c r="B21" s="576"/>
      <c r="C21" s="410"/>
      <c r="D21" s="411"/>
      <c r="E21" s="411"/>
      <c r="F21" s="411"/>
      <c r="G21" s="411"/>
      <c r="H21" s="1352">
        <f t="shared" si="0"/>
        <v>0</v>
      </c>
      <c r="I21" s="412"/>
      <c r="J21" s="412">
        <f t="shared" si="2"/>
        <v>0</v>
      </c>
      <c r="K21" s="406">
        <f t="shared" si="3"/>
        <v>0</v>
      </c>
      <c r="L21" s="413"/>
    </row>
    <row r="22" spans="1:12">
      <c r="A22" s="405" t="s">
        <v>1034</v>
      </c>
      <c r="B22" s="576"/>
      <c r="C22" s="410"/>
      <c r="D22" s="411"/>
      <c r="E22" s="411"/>
      <c r="F22" s="411"/>
      <c r="G22" s="411"/>
      <c r="H22" s="1352">
        <f t="shared" si="0"/>
        <v>0</v>
      </c>
      <c r="I22" s="412"/>
      <c r="J22" s="412">
        <f t="shared" si="2"/>
        <v>0</v>
      </c>
      <c r="K22" s="406">
        <f t="shared" si="3"/>
        <v>0</v>
      </c>
      <c r="L22" s="413"/>
    </row>
    <row r="23" spans="1:12">
      <c r="A23" s="405" t="s">
        <v>1035</v>
      </c>
      <c r="B23" s="576"/>
      <c r="C23" s="410"/>
      <c r="D23" s="411"/>
      <c r="E23" s="411"/>
      <c r="F23" s="411"/>
      <c r="G23" s="411"/>
      <c r="H23" s="1352">
        <f t="shared" si="0"/>
        <v>0</v>
      </c>
      <c r="I23" s="412"/>
      <c r="J23" s="412">
        <f t="shared" si="2"/>
        <v>0</v>
      </c>
      <c r="K23" s="406">
        <f t="shared" si="3"/>
        <v>0</v>
      </c>
      <c r="L23" s="413"/>
    </row>
    <row r="24" spans="1:12">
      <c r="A24" s="405" t="s">
        <v>1036</v>
      </c>
      <c r="B24" s="576"/>
      <c r="C24" s="410"/>
      <c r="D24" s="411"/>
      <c r="E24" s="411"/>
      <c r="F24" s="411"/>
      <c r="G24" s="411"/>
      <c r="H24" s="1352">
        <f t="shared" si="0"/>
        <v>0</v>
      </c>
      <c r="I24" s="412"/>
      <c r="J24" s="412">
        <f t="shared" si="2"/>
        <v>0</v>
      </c>
      <c r="K24" s="406">
        <f t="shared" si="3"/>
        <v>0</v>
      </c>
      <c r="L24" s="413"/>
    </row>
    <row r="25" spans="1:12">
      <c r="A25" s="405" t="s">
        <v>1037</v>
      </c>
      <c r="B25" s="576"/>
      <c r="C25" s="410"/>
      <c r="D25" s="411"/>
      <c r="E25" s="411"/>
      <c r="F25" s="411"/>
      <c r="G25" s="411"/>
      <c r="H25" s="1352">
        <f t="shared" si="0"/>
        <v>0</v>
      </c>
      <c r="I25" s="412"/>
      <c r="J25" s="412">
        <f t="shared" si="2"/>
        <v>0</v>
      </c>
      <c r="K25" s="406">
        <f t="shared" si="3"/>
        <v>0</v>
      </c>
      <c r="L25" s="413"/>
    </row>
    <row r="26" spans="1:12">
      <c r="A26" s="405" t="s">
        <v>1038</v>
      </c>
      <c r="B26" s="576"/>
      <c r="C26" s="410"/>
      <c r="D26" s="411"/>
      <c r="E26" s="411"/>
      <c r="F26" s="411"/>
      <c r="G26" s="411"/>
      <c r="H26" s="1352">
        <f t="shared" si="0"/>
        <v>0</v>
      </c>
      <c r="I26" s="412"/>
      <c r="J26" s="412">
        <f t="shared" si="2"/>
        <v>0</v>
      </c>
      <c r="K26" s="406">
        <f t="shared" si="3"/>
        <v>0</v>
      </c>
      <c r="L26" s="413"/>
    </row>
    <row r="27" spans="1:12">
      <c r="A27" s="405" t="s">
        <v>1039</v>
      </c>
      <c r="B27" s="576"/>
      <c r="C27" s="410"/>
      <c r="D27" s="411"/>
      <c r="E27" s="411"/>
      <c r="F27" s="411"/>
      <c r="G27" s="411"/>
      <c r="H27" s="1352">
        <f t="shared" si="0"/>
        <v>0</v>
      </c>
      <c r="I27" s="412"/>
      <c r="J27" s="412">
        <f t="shared" si="2"/>
        <v>0</v>
      </c>
      <c r="K27" s="406">
        <f t="shared" si="3"/>
        <v>0</v>
      </c>
      <c r="L27" s="413"/>
    </row>
    <row r="28" spans="1:12">
      <c r="A28" s="405" t="s">
        <v>1040</v>
      </c>
      <c r="B28" s="576"/>
      <c r="C28" s="410"/>
      <c r="D28" s="411"/>
      <c r="E28" s="411"/>
      <c r="F28" s="411"/>
      <c r="G28" s="411"/>
      <c r="H28" s="1352">
        <f t="shared" si="0"/>
        <v>0</v>
      </c>
      <c r="I28" s="412"/>
      <c r="J28" s="412">
        <f t="shared" si="2"/>
        <v>0</v>
      </c>
      <c r="K28" s="406">
        <f t="shared" si="3"/>
        <v>0</v>
      </c>
      <c r="L28" s="413"/>
    </row>
    <row r="29" spans="1:12">
      <c r="A29" s="405" t="s">
        <v>1041</v>
      </c>
      <c r="B29" s="576"/>
      <c r="C29" s="410"/>
      <c r="D29" s="411"/>
      <c r="E29" s="411"/>
      <c r="F29" s="411"/>
      <c r="G29" s="411"/>
      <c r="H29" s="1352">
        <f t="shared" si="0"/>
        <v>0</v>
      </c>
      <c r="I29" s="412"/>
      <c r="J29" s="412">
        <f t="shared" si="2"/>
        <v>0</v>
      </c>
      <c r="K29" s="406">
        <f t="shared" si="3"/>
        <v>0</v>
      </c>
      <c r="L29" s="413"/>
    </row>
    <row r="30" spans="1:12">
      <c r="A30" s="405" t="s">
        <v>1042</v>
      </c>
      <c r="B30" s="576"/>
      <c r="C30" s="410"/>
      <c r="D30" s="411"/>
      <c r="E30" s="411"/>
      <c r="F30" s="411"/>
      <c r="G30" s="411"/>
      <c r="H30" s="1352">
        <f t="shared" si="0"/>
        <v>0</v>
      </c>
      <c r="I30" s="412"/>
      <c r="J30" s="412">
        <f t="shared" si="2"/>
        <v>0</v>
      </c>
      <c r="K30" s="406">
        <f t="shared" si="3"/>
        <v>0</v>
      </c>
      <c r="L30" s="413"/>
    </row>
    <row r="31" spans="1:12">
      <c r="A31" s="405" t="s">
        <v>1043</v>
      </c>
      <c r="B31" s="576"/>
      <c r="C31" s="410"/>
      <c r="D31" s="411"/>
      <c r="E31" s="411"/>
      <c r="F31" s="411"/>
      <c r="G31" s="411"/>
      <c r="H31" s="1352">
        <f t="shared" si="0"/>
        <v>0</v>
      </c>
      <c r="I31" s="412"/>
      <c r="J31" s="412">
        <f t="shared" si="2"/>
        <v>0</v>
      </c>
      <c r="K31" s="406">
        <f t="shared" si="3"/>
        <v>0</v>
      </c>
      <c r="L31" s="413"/>
    </row>
    <row r="32" spans="1:12">
      <c r="A32" s="405" t="s">
        <v>1044</v>
      </c>
      <c r="B32" s="576"/>
      <c r="C32" s="410"/>
      <c r="D32" s="411"/>
      <c r="E32" s="411"/>
      <c r="F32" s="411"/>
      <c r="G32" s="411"/>
      <c r="H32" s="1352">
        <f t="shared" si="0"/>
        <v>0</v>
      </c>
      <c r="I32" s="412"/>
      <c r="J32" s="412">
        <f t="shared" si="2"/>
        <v>0</v>
      </c>
      <c r="K32" s="406">
        <f t="shared" si="3"/>
        <v>0</v>
      </c>
      <c r="L32" s="413"/>
    </row>
    <row r="33" spans="1:12">
      <c r="A33" s="405" t="s">
        <v>1045</v>
      </c>
      <c r="B33" s="576"/>
      <c r="C33" s="410"/>
      <c r="D33" s="411"/>
      <c r="E33" s="411"/>
      <c r="F33" s="411"/>
      <c r="G33" s="411"/>
      <c r="H33" s="1352">
        <f t="shared" si="0"/>
        <v>0</v>
      </c>
      <c r="I33" s="412"/>
      <c r="J33" s="412">
        <f t="shared" si="2"/>
        <v>0</v>
      </c>
      <c r="K33" s="406">
        <f t="shared" si="3"/>
        <v>0</v>
      </c>
      <c r="L33" s="413"/>
    </row>
    <row r="34" spans="1:12">
      <c r="A34" s="405" t="s">
        <v>1046</v>
      </c>
      <c r="B34" s="576"/>
      <c r="C34" s="410"/>
      <c r="D34" s="411"/>
      <c r="E34" s="411"/>
      <c r="F34" s="411"/>
      <c r="G34" s="411"/>
      <c r="H34" s="1352">
        <f t="shared" si="0"/>
        <v>0</v>
      </c>
      <c r="I34" s="412"/>
      <c r="J34" s="412">
        <f t="shared" si="2"/>
        <v>0</v>
      </c>
      <c r="K34" s="406">
        <f t="shared" si="3"/>
        <v>0</v>
      </c>
      <c r="L34" s="413"/>
    </row>
    <row r="35" spans="1:12">
      <c r="A35" s="405" t="s">
        <v>1047</v>
      </c>
      <c r="B35" s="576"/>
      <c r="C35" s="410"/>
      <c r="D35" s="411"/>
      <c r="E35" s="411"/>
      <c r="F35" s="411"/>
      <c r="G35" s="411"/>
      <c r="H35" s="1352">
        <f t="shared" si="0"/>
        <v>0</v>
      </c>
      <c r="I35" s="412"/>
      <c r="J35" s="412">
        <f t="shared" si="2"/>
        <v>0</v>
      </c>
      <c r="K35" s="406">
        <f t="shared" si="3"/>
        <v>0</v>
      </c>
      <c r="L35" s="413"/>
    </row>
    <row r="36" spans="1:12">
      <c r="A36" s="405" t="s">
        <v>1048</v>
      </c>
      <c r="B36" s="576"/>
      <c r="C36" s="410"/>
      <c r="D36" s="411"/>
      <c r="E36" s="411"/>
      <c r="F36" s="411"/>
      <c r="G36" s="411"/>
      <c r="H36" s="1352">
        <f t="shared" si="0"/>
        <v>0</v>
      </c>
      <c r="I36" s="412"/>
      <c r="J36" s="412">
        <f t="shared" si="2"/>
        <v>0</v>
      </c>
      <c r="K36" s="406">
        <f t="shared" si="3"/>
        <v>0</v>
      </c>
      <c r="L36" s="413"/>
    </row>
    <row r="37" spans="1:12">
      <c r="A37" s="405" t="s">
        <v>1049</v>
      </c>
      <c r="B37" s="576"/>
      <c r="C37" s="410"/>
      <c r="D37" s="411"/>
      <c r="E37" s="411"/>
      <c r="F37" s="411"/>
      <c r="G37" s="411"/>
      <c r="H37" s="1352">
        <f t="shared" si="0"/>
        <v>0</v>
      </c>
      <c r="I37" s="412"/>
      <c r="J37" s="412">
        <f t="shared" si="2"/>
        <v>0</v>
      </c>
      <c r="K37" s="406">
        <f t="shared" si="3"/>
        <v>0</v>
      </c>
      <c r="L37" s="413"/>
    </row>
    <row r="38" spans="1:12">
      <c r="A38" s="405" t="s">
        <v>1050</v>
      </c>
      <c r="B38" s="576"/>
      <c r="C38" s="410"/>
      <c r="D38" s="411"/>
      <c r="E38" s="411"/>
      <c r="F38" s="411"/>
      <c r="G38" s="411"/>
      <c r="H38" s="1352">
        <f t="shared" si="0"/>
        <v>0</v>
      </c>
      <c r="I38" s="412"/>
      <c r="J38" s="412">
        <f t="shared" si="2"/>
        <v>0</v>
      </c>
      <c r="K38" s="406">
        <f t="shared" si="3"/>
        <v>0</v>
      </c>
      <c r="L38" s="413"/>
    </row>
    <row r="39" spans="1:12">
      <c r="A39" s="405" t="s">
        <v>1051</v>
      </c>
      <c r="B39" s="576"/>
      <c r="C39" s="410"/>
      <c r="D39" s="411"/>
      <c r="E39" s="411"/>
      <c r="F39" s="411"/>
      <c r="G39" s="411"/>
      <c r="H39" s="1352">
        <f t="shared" si="0"/>
        <v>0</v>
      </c>
      <c r="I39" s="412"/>
      <c r="J39" s="412">
        <f t="shared" si="2"/>
        <v>0</v>
      </c>
      <c r="K39" s="406">
        <f t="shared" si="3"/>
        <v>0</v>
      </c>
      <c r="L39" s="413"/>
    </row>
    <row r="40" spans="1:12">
      <c r="A40" s="405" t="s">
        <v>1052</v>
      </c>
      <c r="B40" s="576"/>
      <c r="C40" s="410"/>
      <c r="D40" s="411"/>
      <c r="E40" s="411"/>
      <c r="F40" s="411"/>
      <c r="G40" s="411"/>
      <c r="H40" s="1352">
        <f t="shared" si="0"/>
        <v>0</v>
      </c>
      <c r="I40" s="412"/>
      <c r="J40" s="412">
        <f t="shared" si="2"/>
        <v>0</v>
      </c>
      <c r="K40" s="406">
        <f t="shared" si="3"/>
        <v>0</v>
      </c>
      <c r="L40" s="413"/>
    </row>
    <row r="41" spans="1:12">
      <c r="A41" s="405" t="s">
        <v>1053</v>
      </c>
      <c r="B41" s="576"/>
      <c r="C41" s="410"/>
      <c r="D41" s="411"/>
      <c r="E41" s="411"/>
      <c r="F41" s="411"/>
      <c r="G41" s="411"/>
      <c r="H41" s="1352">
        <f t="shared" si="0"/>
        <v>0</v>
      </c>
      <c r="I41" s="412"/>
      <c r="J41" s="412">
        <f t="shared" si="2"/>
        <v>0</v>
      </c>
      <c r="K41" s="406">
        <f t="shared" si="3"/>
        <v>0</v>
      </c>
      <c r="L41" s="413"/>
    </row>
    <row r="42" spans="1:12">
      <c r="A42" s="405" t="s">
        <v>1054</v>
      </c>
      <c r="B42" s="576"/>
      <c r="C42" s="410"/>
      <c r="D42" s="411"/>
      <c r="E42" s="411"/>
      <c r="F42" s="411"/>
      <c r="G42" s="411"/>
      <c r="H42" s="1352">
        <f t="shared" si="0"/>
        <v>0</v>
      </c>
      <c r="I42" s="412"/>
      <c r="J42" s="412">
        <f t="shared" si="2"/>
        <v>0</v>
      </c>
      <c r="K42" s="406">
        <f t="shared" si="3"/>
        <v>0</v>
      </c>
      <c r="L42" s="413"/>
    </row>
    <row r="43" spans="1:12">
      <c r="A43" s="405" t="s">
        <v>1055</v>
      </c>
      <c r="B43" s="576"/>
      <c r="C43" s="410"/>
      <c r="D43" s="411"/>
      <c r="E43" s="411"/>
      <c r="F43" s="411"/>
      <c r="G43" s="411"/>
      <c r="H43" s="1352">
        <f t="shared" si="0"/>
        <v>0</v>
      </c>
      <c r="I43" s="412"/>
      <c r="J43" s="412">
        <f t="shared" si="2"/>
        <v>0</v>
      </c>
      <c r="K43" s="406">
        <f t="shared" si="3"/>
        <v>0</v>
      </c>
      <c r="L43" s="413"/>
    </row>
    <row r="44" spans="1:12">
      <c r="A44" s="405" t="s">
        <v>1056</v>
      </c>
      <c r="B44" s="576"/>
      <c r="C44" s="410"/>
      <c r="D44" s="411"/>
      <c r="E44" s="411"/>
      <c r="F44" s="411"/>
      <c r="G44" s="411"/>
      <c r="H44" s="1352">
        <f t="shared" si="0"/>
        <v>0</v>
      </c>
      <c r="I44" s="412"/>
      <c r="J44" s="412">
        <f t="shared" si="2"/>
        <v>0</v>
      </c>
      <c r="K44" s="406">
        <f t="shared" si="3"/>
        <v>0</v>
      </c>
      <c r="L44" s="413"/>
    </row>
    <row r="45" spans="1:12">
      <c r="A45" s="405" t="s">
        <v>1057</v>
      </c>
      <c r="B45" s="576"/>
      <c r="C45" s="410"/>
      <c r="D45" s="411"/>
      <c r="E45" s="411"/>
      <c r="F45" s="411"/>
      <c r="G45" s="411"/>
      <c r="H45" s="1352">
        <f t="shared" si="0"/>
        <v>0</v>
      </c>
      <c r="I45" s="412"/>
      <c r="J45" s="412">
        <f t="shared" si="2"/>
        <v>0</v>
      </c>
      <c r="K45" s="406">
        <f t="shared" si="3"/>
        <v>0</v>
      </c>
      <c r="L45" s="413"/>
    </row>
    <row r="46" spans="1:12">
      <c r="A46" s="405" t="s">
        <v>1058</v>
      </c>
      <c r="B46" s="576"/>
      <c r="C46" s="410"/>
      <c r="D46" s="411"/>
      <c r="E46" s="411"/>
      <c r="F46" s="411"/>
      <c r="G46" s="411"/>
      <c r="H46" s="1352">
        <f t="shared" si="0"/>
        <v>0</v>
      </c>
      <c r="I46" s="412"/>
      <c r="J46" s="412">
        <f t="shared" si="2"/>
        <v>0</v>
      </c>
      <c r="K46" s="406">
        <f t="shared" si="3"/>
        <v>0</v>
      </c>
      <c r="L46" s="413"/>
    </row>
    <row r="47" spans="1:12">
      <c r="A47" s="405" t="s">
        <v>1059</v>
      </c>
      <c r="B47" s="576"/>
      <c r="C47" s="410"/>
      <c r="D47" s="411"/>
      <c r="E47" s="411"/>
      <c r="F47" s="411"/>
      <c r="G47" s="411"/>
      <c r="H47" s="1352">
        <f t="shared" si="0"/>
        <v>0</v>
      </c>
      <c r="I47" s="412"/>
      <c r="J47" s="412">
        <f t="shared" si="2"/>
        <v>0</v>
      </c>
      <c r="K47" s="406">
        <f t="shared" si="3"/>
        <v>0</v>
      </c>
      <c r="L47" s="413"/>
    </row>
    <row r="48" spans="1:12">
      <c r="A48" s="405" t="s">
        <v>1060</v>
      </c>
      <c r="B48" s="576"/>
      <c r="C48" s="410"/>
      <c r="D48" s="411"/>
      <c r="E48" s="411"/>
      <c r="F48" s="411"/>
      <c r="G48" s="411"/>
      <c r="H48" s="1352">
        <f t="shared" si="0"/>
        <v>0</v>
      </c>
      <c r="I48" s="412"/>
      <c r="J48" s="412">
        <f t="shared" si="2"/>
        <v>0</v>
      </c>
      <c r="K48" s="406">
        <f t="shared" si="3"/>
        <v>0</v>
      </c>
      <c r="L48" s="413"/>
    </row>
    <row r="49" spans="1:12">
      <c r="A49" s="405" t="s">
        <v>1061</v>
      </c>
      <c r="B49" s="576"/>
      <c r="C49" s="410"/>
      <c r="D49" s="411"/>
      <c r="E49" s="411"/>
      <c r="F49" s="411"/>
      <c r="G49" s="411"/>
      <c r="H49" s="1352">
        <f t="shared" si="0"/>
        <v>0</v>
      </c>
      <c r="I49" s="412"/>
      <c r="J49" s="412">
        <f t="shared" si="2"/>
        <v>0</v>
      </c>
      <c r="K49" s="406">
        <f t="shared" si="3"/>
        <v>0</v>
      </c>
      <c r="L49" s="413"/>
    </row>
    <row r="50" spans="1:12">
      <c r="A50" s="405" t="s">
        <v>1062</v>
      </c>
      <c r="B50" s="576"/>
      <c r="C50" s="410"/>
      <c r="D50" s="411"/>
      <c r="E50" s="411"/>
      <c r="F50" s="411"/>
      <c r="G50" s="411"/>
      <c r="H50" s="1352">
        <f t="shared" si="0"/>
        <v>0</v>
      </c>
      <c r="I50" s="412"/>
      <c r="J50" s="412">
        <f t="shared" si="2"/>
        <v>0</v>
      </c>
      <c r="K50" s="406">
        <f t="shared" si="3"/>
        <v>0</v>
      </c>
      <c r="L50" s="413"/>
    </row>
    <row r="51" spans="1:12">
      <c r="A51" s="405" t="s">
        <v>1063</v>
      </c>
      <c r="B51" s="576"/>
      <c r="C51" s="410"/>
      <c r="D51" s="411"/>
      <c r="E51" s="411"/>
      <c r="F51" s="411"/>
      <c r="G51" s="411"/>
      <c r="H51" s="1352">
        <f t="shared" si="0"/>
        <v>0</v>
      </c>
      <c r="I51" s="412"/>
      <c r="J51" s="412">
        <f t="shared" si="2"/>
        <v>0</v>
      </c>
      <c r="K51" s="406">
        <f t="shared" si="3"/>
        <v>0</v>
      </c>
      <c r="L51" s="413"/>
    </row>
    <row r="52" spans="1:12">
      <c r="A52" s="405" t="s">
        <v>1064</v>
      </c>
      <c r="B52" s="576"/>
      <c r="C52" s="410"/>
      <c r="D52" s="411"/>
      <c r="E52" s="411"/>
      <c r="F52" s="411"/>
      <c r="G52" s="411"/>
      <c r="H52" s="1352">
        <f t="shared" si="0"/>
        <v>0</v>
      </c>
      <c r="I52" s="412"/>
      <c r="J52" s="412">
        <f t="shared" si="2"/>
        <v>0</v>
      </c>
      <c r="K52" s="406">
        <f t="shared" si="3"/>
        <v>0</v>
      </c>
      <c r="L52" s="413"/>
    </row>
    <row r="53" spans="1:12">
      <c r="A53" s="405" t="s">
        <v>1065</v>
      </c>
      <c r="B53" s="576"/>
      <c r="C53" s="410"/>
      <c r="D53" s="411"/>
      <c r="E53" s="411"/>
      <c r="F53" s="411"/>
      <c r="G53" s="411"/>
      <c r="H53" s="1352">
        <f t="shared" si="0"/>
        <v>0</v>
      </c>
      <c r="I53" s="412"/>
      <c r="J53" s="412">
        <f t="shared" si="2"/>
        <v>0</v>
      </c>
      <c r="K53" s="406">
        <f t="shared" si="1"/>
        <v>0</v>
      </c>
    </row>
    <row r="54" spans="1:12">
      <c r="A54" s="405" t="s">
        <v>1066</v>
      </c>
      <c r="B54" s="576"/>
      <c r="C54" s="410"/>
      <c r="D54" s="411"/>
      <c r="E54" s="411"/>
      <c r="F54" s="411"/>
      <c r="G54" s="411"/>
      <c r="H54" s="1352">
        <f t="shared" si="0"/>
        <v>0</v>
      </c>
      <c r="I54" s="412"/>
      <c r="J54" s="412">
        <f t="shared" si="2"/>
        <v>0</v>
      </c>
      <c r="K54" s="406">
        <f t="shared" si="1"/>
        <v>0</v>
      </c>
    </row>
    <row r="55" spans="1:12">
      <c r="A55" s="405" t="s">
        <v>1070</v>
      </c>
      <c r="B55" s="576"/>
      <c r="C55" s="410"/>
      <c r="D55" s="411"/>
      <c r="E55" s="411"/>
      <c r="F55" s="411"/>
      <c r="G55" s="411"/>
      <c r="H55" s="1352">
        <f t="shared" si="0"/>
        <v>0</v>
      </c>
      <c r="I55" s="412"/>
      <c r="J55" s="412">
        <f t="shared" si="2"/>
        <v>0</v>
      </c>
      <c r="K55" s="406">
        <f t="shared" si="1"/>
        <v>0</v>
      </c>
    </row>
    <row r="56" spans="1:12">
      <c r="A56" s="405" t="s">
        <v>1071</v>
      </c>
      <c r="B56" s="576"/>
      <c r="C56" s="410"/>
      <c r="D56" s="411"/>
      <c r="E56" s="411"/>
      <c r="F56" s="411"/>
      <c r="G56" s="411"/>
      <c r="H56" s="1352">
        <f t="shared" si="0"/>
        <v>0</v>
      </c>
      <c r="I56" s="412"/>
      <c r="J56" s="412">
        <f t="shared" si="2"/>
        <v>0</v>
      </c>
      <c r="K56" s="406">
        <f t="shared" si="1"/>
        <v>0</v>
      </c>
    </row>
    <row r="57" spans="1:12">
      <c r="A57" s="405" t="s">
        <v>1072</v>
      </c>
      <c r="B57" s="576"/>
      <c r="C57" s="410"/>
      <c r="D57" s="411"/>
      <c r="E57" s="411"/>
      <c r="F57" s="411"/>
      <c r="G57" s="411"/>
      <c r="H57" s="1352">
        <f t="shared" si="0"/>
        <v>0</v>
      </c>
      <c r="I57" s="412"/>
      <c r="J57" s="412">
        <f t="shared" si="2"/>
        <v>0</v>
      </c>
      <c r="K57" s="406">
        <f t="shared" si="1"/>
        <v>0</v>
      </c>
    </row>
    <row r="58" spans="1:12">
      <c r="A58" s="405" t="s">
        <v>1073</v>
      </c>
      <c r="B58" s="576"/>
      <c r="C58" s="410"/>
      <c r="D58" s="411"/>
      <c r="E58" s="411"/>
      <c r="F58" s="411"/>
      <c r="G58" s="411"/>
      <c r="H58" s="1352">
        <f t="shared" si="0"/>
        <v>0</v>
      </c>
      <c r="I58" s="412"/>
      <c r="J58" s="412">
        <f t="shared" si="2"/>
        <v>0</v>
      </c>
      <c r="K58" s="406">
        <f>D58*J58</f>
        <v>0</v>
      </c>
    </row>
    <row r="59" spans="1:12">
      <c r="A59" s="405" t="s">
        <v>1074</v>
      </c>
      <c r="B59" s="576"/>
      <c r="C59" s="410"/>
      <c r="D59" s="411"/>
      <c r="E59" s="411"/>
      <c r="F59" s="411"/>
      <c r="G59" s="411"/>
      <c r="H59" s="1352">
        <f t="shared" si="0"/>
        <v>0</v>
      </c>
      <c r="I59" s="412"/>
      <c r="J59" s="412">
        <f t="shared" si="2"/>
        <v>0</v>
      </c>
      <c r="K59" s="406">
        <f t="shared" si="1"/>
        <v>0</v>
      </c>
    </row>
    <row r="60" spans="1:12">
      <c r="A60" s="405" t="s">
        <v>1075</v>
      </c>
      <c r="B60" s="576"/>
      <c r="C60" s="410"/>
      <c r="D60" s="411"/>
      <c r="E60" s="411"/>
      <c r="F60" s="411"/>
      <c r="G60" s="411"/>
      <c r="H60" s="1352">
        <f t="shared" si="0"/>
        <v>0</v>
      </c>
      <c r="I60" s="412"/>
      <c r="J60" s="412">
        <f t="shared" si="2"/>
        <v>0</v>
      </c>
      <c r="K60" s="406">
        <f t="shared" si="1"/>
        <v>0</v>
      </c>
    </row>
    <row r="61" spans="1:12">
      <c r="A61" s="405" t="s">
        <v>1076</v>
      </c>
      <c r="B61" s="576"/>
      <c r="C61" s="410"/>
      <c r="D61" s="411"/>
      <c r="E61" s="411"/>
      <c r="F61" s="411"/>
      <c r="G61" s="411"/>
      <c r="H61" s="1352">
        <f t="shared" si="0"/>
        <v>0</v>
      </c>
      <c r="I61" s="412"/>
      <c r="J61" s="412">
        <f t="shared" si="2"/>
        <v>0</v>
      </c>
      <c r="K61" s="406">
        <f t="shared" si="1"/>
        <v>0</v>
      </c>
    </row>
    <row r="62" spans="1:12">
      <c r="A62" s="405" t="s">
        <v>1077</v>
      </c>
      <c r="B62" s="576"/>
      <c r="C62" s="410"/>
      <c r="D62" s="411"/>
      <c r="E62" s="411"/>
      <c r="F62" s="411"/>
      <c r="G62" s="411"/>
      <c r="H62" s="1352">
        <f t="shared" si="0"/>
        <v>0</v>
      </c>
      <c r="I62" s="412"/>
      <c r="J62" s="412">
        <f t="shared" si="2"/>
        <v>0</v>
      </c>
      <c r="K62" s="406">
        <f t="shared" si="1"/>
        <v>0</v>
      </c>
    </row>
    <row r="63" spans="1:12">
      <c r="A63" s="405" t="s">
        <v>1078</v>
      </c>
      <c r="B63" s="576"/>
      <c r="C63" s="410"/>
      <c r="D63" s="411"/>
      <c r="E63" s="411"/>
      <c r="F63" s="411"/>
      <c r="G63" s="411"/>
      <c r="H63" s="1352">
        <f t="shared" si="0"/>
        <v>0</v>
      </c>
      <c r="I63" s="412"/>
      <c r="J63" s="412">
        <f t="shared" si="2"/>
        <v>0</v>
      </c>
      <c r="K63" s="406">
        <f t="shared" si="1"/>
        <v>0</v>
      </c>
    </row>
    <row r="64" spans="1:12" s="414" customFormat="1">
      <c r="A64" s="407"/>
      <c r="B64" s="407" t="s">
        <v>582</v>
      </c>
      <c r="C64" s="407"/>
      <c r="D64" s="408"/>
      <c r="E64" s="408"/>
      <c r="F64" s="408">
        <f>SUM(F11:F63)</f>
        <v>0</v>
      </c>
      <c r="G64" s="408"/>
      <c r="H64" s="408">
        <f>SUM(H11:H63)</f>
        <v>0</v>
      </c>
      <c r="I64" s="408">
        <f>'НВВ базовый расчет'!D38-I91</f>
        <v>0</v>
      </c>
      <c r="J64" s="408"/>
      <c r="K64" s="408">
        <f>SUM(K11:K63)</f>
        <v>0</v>
      </c>
    </row>
    <row r="66" spans="1:11" ht="22.5" customHeight="1">
      <c r="A66" s="173"/>
      <c r="B66" s="80" t="s">
        <v>584</v>
      </c>
      <c r="C66" s="173"/>
      <c r="D66" s="173"/>
      <c r="E66" s="173"/>
      <c r="F66" s="173"/>
      <c r="G66" s="173"/>
      <c r="H66" s="173"/>
      <c r="I66" s="173"/>
      <c r="J66" s="173"/>
    </row>
    <row r="67" spans="1:11">
      <c r="A67" s="173"/>
      <c r="B67" s="173"/>
      <c r="C67" s="173"/>
      <c r="D67" s="173"/>
      <c r="E67" s="173"/>
      <c r="F67" s="173"/>
      <c r="G67" s="173"/>
      <c r="H67" s="173"/>
      <c r="I67" s="173"/>
      <c r="J67" s="173"/>
    </row>
    <row r="68" spans="1:11" ht="15.75" customHeight="1">
      <c r="A68" s="1525" t="s">
        <v>533</v>
      </c>
      <c r="B68" s="1525" t="s">
        <v>576</v>
      </c>
      <c r="C68" s="1525"/>
      <c r="D68" s="1525"/>
      <c r="E68" s="1525" t="s">
        <v>586</v>
      </c>
      <c r="F68" s="1525" t="s">
        <v>301</v>
      </c>
      <c r="G68" s="1104" t="s">
        <v>1132</v>
      </c>
      <c r="H68" s="1104" t="s">
        <v>1133</v>
      </c>
      <c r="I68" s="1104" t="str">
        <f>I8</f>
        <v>план 2017 г</v>
      </c>
      <c r="J68" s="1104" t="s">
        <v>1133</v>
      </c>
    </row>
    <row r="69" spans="1:11" ht="56.25" customHeight="1">
      <c r="A69" s="1525"/>
      <c r="B69" s="1525"/>
      <c r="C69" s="1525"/>
      <c r="D69" s="1525"/>
      <c r="E69" s="1525"/>
      <c r="F69" s="1525"/>
      <c r="G69" s="1104" t="s">
        <v>376</v>
      </c>
      <c r="H69" s="1104" t="s">
        <v>396</v>
      </c>
      <c r="I69" s="1104" t="s">
        <v>980</v>
      </c>
      <c r="J69" s="1104" t="s">
        <v>1023</v>
      </c>
    </row>
    <row r="70" spans="1:11" ht="31.5">
      <c r="A70" s="1525"/>
      <c r="B70" s="1525"/>
      <c r="C70" s="1525"/>
      <c r="D70" s="1525"/>
      <c r="E70" s="1525"/>
      <c r="F70" s="1525"/>
      <c r="G70" s="1104" t="s">
        <v>581</v>
      </c>
      <c r="H70" s="1104" t="s">
        <v>581</v>
      </c>
      <c r="I70" s="1104" t="s">
        <v>581</v>
      </c>
      <c r="J70" s="1104" t="s">
        <v>580</v>
      </c>
    </row>
    <row r="71" spans="1:11">
      <c r="A71" s="405">
        <v>1</v>
      </c>
      <c r="B71" s="1547"/>
      <c r="C71" s="1547"/>
      <c r="D71" s="1547"/>
      <c r="E71" s="410"/>
      <c r="F71" s="411"/>
      <c r="G71" s="411"/>
      <c r="H71" s="411"/>
      <c r="I71" s="406"/>
      <c r="J71" s="412">
        <f>G71</f>
        <v>0</v>
      </c>
    </row>
    <row r="72" spans="1:11">
      <c r="A72" s="405">
        <v>2</v>
      </c>
      <c r="B72" s="1547"/>
      <c r="C72" s="1547"/>
      <c r="D72" s="1547"/>
      <c r="E72" s="410"/>
      <c r="F72" s="411"/>
      <c r="G72" s="411"/>
      <c r="H72" s="411"/>
      <c r="I72" s="406"/>
      <c r="J72" s="412">
        <f t="shared" ref="J72:J90" si="4">G72</f>
        <v>0</v>
      </c>
    </row>
    <row r="73" spans="1:11">
      <c r="A73" s="405">
        <v>3</v>
      </c>
      <c r="B73" s="1547"/>
      <c r="C73" s="1547"/>
      <c r="D73" s="1547"/>
      <c r="E73" s="410"/>
      <c r="F73" s="411"/>
      <c r="G73" s="411"/>
      <c r="H73" s="411"/>
      <c r="I73" s="406"/>
      <c r="J73" s="412">
        <f t="shared" si="4"/>
        <v>0</v>
      </c>
    </row>
    <row r="74" spans="1:11">
      <c r="A74" s="405">
        <v>4</v>
      </c>
      <c r="B74" s="1547"/>
      <c r="C74" s="1547"/>
      <c r="D74" s="1547"/>
      <c r="E74" s="410"/>
      <c r="F74" s="411"/>
      <c r="G74" s="411"/>
      <c r="H74" s="411"/>
      <c r="I74" s="406"/>
      <c r="J74" s="412">
        <f t="shared" si="4"/>
        <v>0</v>
      </c>
    </row>
    <row r="75" spans="1:11">
      <c r="A75" s="405">
        <v>5</v>
      </c>
      <c r="B75" s="1547"/>
      <c r="C75" s="1547"/>
      <c r="D75" s="1547"/>
      <c r="E75" s="410"/>
      <c r="F75" s="411"/>
      <c r="G75" s="411"/>
      <c r="H75" s="411"/>
      <c r="I75" s="406"/>
      <c r="J75" s="412">
        <f t="shared" si="4"/>
        <v>0</v>
      </c>
    </row>
    <row r="76" spans="1:11">
      <c r="A76" s="405">
        <v>6</v>
      </c>
      <c r="B76" s="1547"/>
      <c r="C76" s="1547"/>
      <c r="D76" s="1547"/>
      <c r="E76" s="410"/>
      <c r="F76" s="411"/>
      <c r="G76" s="411"/>
      <c r="H76" s="411"/>
      <c r="I76" s="406"/>
      <c r="J76" s="412">
        <f t="shared" si="4"/>
        <v>0</v>
      </c>
    </row>
    <row r="77" spans="1:11">
      <c r="A77" s="405">
        <v>7</v>
      </c>
      <c r="B77" s="1547"/>
      <c r="C77" s="1547"/>
      <c r="D77" s="1547"/>
      <c r="E77" s="410"/>
      <c r="F77" s="411"/>
      <c r="G77" s="411"/>
      <c r="H77" s="411"/>
      <c r="I77" s="406"/>
      <c r="J77" s="412">
        <f t="shared" si="4"/>
        <v>0</v>
      </c>
    </row>
    <row r="78" spans="1:11">
      <c r="A78" s="405">
        <v>8</v>
      </c>
      <c r="B78" s="1547"/>
      <c r="C78" s="1547"/>
      <c r="D78" s="1547"/>
      <c r="E78" s="410"/>
      <c r="F78" s="411"/>
      <c r="G78" s="411"/>
      <c r="H78" s="411"/>
      <c r="I78" s="406"/>
      <c r="J78" s="412">
        <f t="shared" si="4"/>
        <v>0</v>
      </c>
    </row>
    <row r="79" spans="1:11">
      <c r="A79" s="405">
        <v>9</v>
      </c>
      <c r="B79" s="1547"/>
      <c r="C79" s="1547"/>
      <c r="D79" s="1547"/>
      <c r="E79" s="410"/>
      <c r="F79" s="411"/>
      <c r="G79" s="411"/>
      <c r="H79" s="411"/>
      <c r="I79" s="406"/>
      <c r="J79" s="412">
        <f t="shared" si="4"/>
        <v>0</v>
      </c>
      <c r="K79" s="413" t="s">
        <v>539</v>
      </c>
    </row>
    <row r="80" spans="1:11">
      <c r="A80" s="405">
        <v>10</v>
      </c>
      <c r="B80" s="1547"/>
      <c r="C80" s="1547"/>
      <c r="D80" s="1547"/>
      <c r="E80" s="410"/>
      <c r="F80" s="411"/>
      <c r="G80" s="411"/>
      <c r="H80" s="411"/>
      <c r="I80" s="406"/>
      <c r="J80" s="412">
        <f t="shared" si="4"/>
        <v>0</v>
      </c>
    </row>
    <row r="81" spans="1:12">
      <c r="A81" s="405">
        <v>11</v>
      </c>
      <c r="B81" s="1547"/>
      <c r="C81" s="1547"/>
      <c r="D81" s="1547"/>
      <c r="E81" s="410"/>
      <c r="F81" s="411"/>
      <c r="G81" s="411"/>
      <c r="H81" s="411"/>
      <c r="I81" s="406"/>
      <c r="J81" s="412">
        <f t="shared" si="4"/>
        <v>0</v>
      </c>
    </row>
    <row r="82" spans="1:12">
      <c r="A82" s="405">
        <v>12</v>
      </c>
      <c r="B82" s="1547"/>
      <c r="C82" s="1547"/>
      <c r="D82" s="1547"/>
      <c r="E82" s="410"/>
      <c r="F82" s="411"/>
      <c r="G82" s="411"/>
      <c r="H82" s="411"/>
      <c r="I82" s="406"/>
      <c r="J82" s="412">
        <f t="shared" si="4"/>
        <v>0</v>
      </c>
    </row>
    <row r="83" spans="1:12">
      <c r="A83" s="405">
        <v>13</v>
      </c>
      <c r="B83" s="1547"/>
      <c r="C83" s="1547"/>
      <c r="D83" s="1547"/>
      <c r="E83" s="410"/>
      <c r="F83" s="411"/>
      <c r="G83" s="411"/>
      <c r="H83" s="411"/>
      <c r="I83" s="406"/>
      <c r="J83" s="412">
        <f t="shared" si="4"/>
        <v>0</v>
      </c>
    </row>
    <row r="84" spans="1:12">
      <c r="A84" s="405">
        <v>14</v>
      </c>
      <c r="B84" s="1547"/>
      <c r="C84" s="1547"/>
      <c r="D84" s="1547"/>
      <c r="E84" s="410"/>
      <c r="F84" s="411"/>
      <c r="G84" s="411"/>
      <c r="H84" s="411"/>
      <c r="I84" s="406"/>
      <c r="J84" s="412">
        <f t="shared" si="4"/>
        <v>0</v>
      </c>
    </row>
    <row r="85" spans="1:12">
      <c r="A85" s="405">
        <v>15</v>
      </c>
      <c r="B85" s="1547"/>
      <c r="C85" s="1547"/>
      <c r="D85" s="1547"/>
      <c r="E85" s="410"/>
      <c r="F85" s="411"/>
      <c r="G85" s="411"/>
      <c r="H85" s="411"/>
      <c r="I85" s="406"/>
      <c r="J85" s="412">
        <f t="shared" si="4"/>
        <v>0</v>
      </c>
    </row>
    <row r="86" spans="1:12">
      <c r="A86" s="405">
        <v>16</v>
      </c>
      <c r="B86" s="1547"/>
      <c r="C86" s="1547"/>
      <c r="D86" s="1547"/>
      <c r="E86" s="410"/>
      <c r="F86" s="411"/>
      <c r="G86" s="411"/>
      <c r="H86" s="411"/>
      <c r="I86" s="406"/>
      <c r="J86" s="412">
        <f t="shared" si="4"/>
        <v>0</v>
      </c>
    </row>
    <row r="87" spans="1:12">
      <c r="A87" s="405">
        <v>17</v>
      </c>
      <c r="B87" s="1547"/>
      <c r="C87" s="1547"/>
      <c r="D87" s="1547"/>
      <c r="E87" s="410"/>
      <c r="F87" s="411"/>
      <c r="G87" s="411"/>
      <c r="H87" s="411"/>
      <c r="I87" s="406"/>
      <c r="J87" s="412">
        <f t="shared" si="4"/>
        <v>0</v>
      </c>
    </row>
    <row r="88" spans="1:12">
      <c r="A88" s="405">
        <v>18</v>
      </c>
      <c r="B88" s="1547"/>
      <c r="C88" s="1547"/>
      <c r="D88" s="1547"/>
      <c r="E88" s="410"/>
      <c r="F88" s="411"/>
      <c r="G88" s="411"/>
      <c r="H88" s="411"/>
      <c r="I88" s="406"/>
      <c r="J88" s="412">
        <f t="shared" si="4"/>
        <v>0</v>
      </c>
    </row>
    <row r="89" spans="1:12">
      <c r="A89" s="405">
        <v>19</v>
      </c>
      <c r="B89" s="1547"/>
      <c r="C89" s="1547"/>
      <c r="D89" s="1547"/>
      <c r="E89" s="410"/>
      <c r="F89" s="411"/>
      <c r="G89" s="411"/>
      <c r="H89" s="411"/>
      <c r="I89" s="406"/>
      <c r="J89" s="412">
        <f t="shared" si="4"/>
        <v>0</v>
      </c>
    </row>
    <row r="90" spans="1:12">
      <c r="A90" s="405">
        <v>20</v>
      </c>
      <c r="B90" s="1547"/>
      <c r="C90" s="1547"/>
      <c r="D90" s="1547"/>
      <c r="E90" s="410"/>
      <c r="F90" s="411"/>
      <c r="G90" s="411"/>
      <c r="H90" s="411"/>
      <c r="I90" s="406"/>
      <c r="J90" s="412">
        <f t="shared" si="4"/>
        <v>0</v>
      </c>
    </row>
    <row r="91" spans="1:12">
      <c r="A91" s="407"/>
      <c r="B91" s="1548" t="s">
        <v>582</v>
      </c>
      <c r="C91" s="1548"/>
      <c r="D91" s="1548"/>
      <c r="E91" s="407"/>
      <c r="F91" s="408"/>
      <c r="G91" s="408">
        <f>SUM(G71:G90)</f>
        <v>0</v>
      </c>
      <c r="H91" s="408">
        <f>SUM(H71:H90)</f>
        <v>0</v>
      </c>
      <c r="I91" s="415">
        <v>0</v>
      </c>
      <c r="J91" s="408">
        <f>SUM(J71:J90)</f>
        <v>0</v>
      </c>
      <c r="K91" s="414"/>
      <c r="L91" s="414"/>
    </row>
    <row r="93" spans="1:12">
      <c r="A93" s="1548" t="s">
        <v>587</v>
      </c>
      <c r="B93" s="1548"/>
      <c r="C93" s="1548"/>
      <c r="D93" s="1548"/>
      <c r="E93" s="1548"/>
      <c r="F93" s="1548"/>
      <c r="G93" s="409">
        <f>F64+G91</f>
        <v>0</v>
      </c>
      <c r="H93" s="409">
        <f>H64+H91</f>
        <v>0</v>
      </c>
      <c r="I93" s="409">
        <f>I64+I91</f>
        <v>0</v>
      </c>
      <c r="J93" s="409">
        <f>K64+J91</f>
        <v>0</v>
      </c>
    </row>
    <row r="94" spans="1:12">
      <c r="I94" s="771">
        <f>IF(Титульный!B17="2016-2018",I93-НВВ2017!E27,I93-'НВВ базовый расчет'!H38)</f>
        <v>0</v>
      </c>
    </row>
  </sheetData>
  <sheetProtection password="F66E" sheet="1" objects="1" scenarios="1" formatCells="0" formatColumns="0" formatRows="0" insertRows="0"/>
  <mergeCells count="39">
    <mergeCell ref="B90:D90"/>
    <mergeCell ref="B91:D91"/>
    <mergeCell ref="A93:F93"/>
    <mergeCell ref="B84:D84"/>
    <mergeCell ref="B85:D85"/>
    <mergeCell ref="B86:D86"/>
    <mergeCell ref="B87:D87"/>
    <mergeCell ref="B88:D88"/>
    <mergeCell ref="B89:D89"/>
    <mergeCell ref="B83:D83"/>
    <mergeCell ref="B72:D72"/>
    <mergeCell ref="B73:D73"/>
    <mergeCell ref="B74:D74"/>
    <mergeCell ref="B75:D75"/>
    <mergeCell ref="B76:D76"/>
    <mergeCell ref="B77:D77"/>
    <mergeCell ref="B78:D78"/>
    <mergeCell ref="B79:D79"/>
    <mergeCell ref="B80:D80"/>
    <mergeCell ref="B81:D81"/>
    <mergeCell ref="B82:D82"/>
    <mergeCell ref="B68:D70"/>
    <mergeCell ref="B71:D71"/>
    <mergeCell ref="A68:A70"/>
    <mergeCell ref="E68:E70"/>
    <mergeCell ref="F68:F70"/>
    <mergeCell ref="J8:K8"/>
    <mergeCell ref="J9:K9"/>
    <mergeCell ref="A2:H2"/>
    <mergeCell ref="A1:H1"/>
    <mergeCell ref="A3:H3"/>
    <mergeCell ref="E8:F8"/>
    <mergeCell ref="G8:H8"/>
    <mergeCell ref="E9:F9"/>
    <mergeCell ref="G9:H9"/>
    <mergeCell ref="A8:A10"/>
    <mergeCell ref="B8:B10"/>
    <mergeCell ref="C8:C10"/>
    <mergeCell ref="D8:D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23"/>
  <sheetViews>
    <sheetView workbookViewId="0">
      <selection activeCell="B17" sqref="B17"/>
    </sheetView>
  </sheetViews>
  <sheetFormatPr defaultColWidth="16.7109375" defaultRowHeight="12.75"/>
  <cols>
    <col min="1" max="1" width="28.140625" style="347" customWidth="1"/>
    <col min="2" max="2" width="142" style="347" customWidth="1"/>
    <col min="3" max="3" width="65.42578125" style="350" customWidth="1"/>
    <col min="4" max="4" width="10.28515625" style="347" customWidth="1"/>
    <col min="5" max="16384" width="16.7109375" style="347"/>
  </cols>
  <sheetData>
    <row r="1" spans="1:4">
      <c r="A1" s="1135"/>
      <c r="B1" s="1136"/>
      <c r="C1" s="348"/>
    </row>
    <row r="2" spans="1:4" s="350" customFormat="1">
      <c r="A2" s="1366" t="s">
        <v>12</v>
      </c>
      <c r="B2" s="1366"/>
      <c r="C2" s="349"/>
    </row>
    <row r="3" spans="1:4">
      <c r="A3" s="1137"/>
      <c r="B3" s="1137"/>
      <c r="C3" s="349"/>
    </row>
    <row r="4" spans="1:4">
      <c r="A4" s="1138" t="s">
        <v>0</v>
      </c>
      <c r="B4" s="552" t="s">
        <v>1</v>
      </c>
      <c r="C4" s="349"/>
      <c r="D4" s="349"/>
    </row>
    <row r="5" spans="1:4" s="351" customFormat="1">
      <c r="A5" s="1139"/>
      <c r="B5" s="1139"/>
    </row>
    <row r="6" spans="1:4" s="351" customFormat="1" ht="20.100000000000001" customHeight="1">
      <c r="A6" s="1140" t="s">
        <v>2</v>
      </c>
      <c r="B6" s="613"/>
    </row>
    <row r="7" spans="1:4" s="351" customFormat="1" ht="20.100000000000001" customHeight="1">
      <c r="A7" s="1140" t="s">
        <v>3</v>
      </c>
      <c r="B7" s="613"/>
      <c r="C7" s="346"/>
    </row>
    <row r="8" spans="1:4">
      <c r="A8" s="1141"/>
      <c r="B8" s="1145"/>
      <c r="C8" s="352"/>
    </row>
    <row r="9" spans="1:4" ht="20.100000000000001" customHeight="1">
      <c r="A9" s="1140" t="s">
        <v>4</v>
      </c>
      <c r="B9" s="612"/>
      <c r="C9" s="353"/>
    </row>
    <row r="10" spans="1:4" ht="20.100000000000001" customHeight="1">
      <c r="A10" s="1140" t="s">
        <v>5</v>
      </c>
      <c r="B10" s="1134" t="str">
        <f>IF(Титульный!B9=""," ",INDEX(списки!M2:O185,MATCH(Титульный!B9,списки!M2:M185,0),3))</f>
        <v xml:space="preserve"> </v>
      </c>
      <c r="C10" s="353"/>
    </row>
    <row r="11" spans="1:4" ht="20.100000000000001" customHeight="1">
      <c r="A11" s="1140" t="s">
        <v>6</v>
      </c>
      <c r="B11" s="1"/>
      <c r="C11" s="354"/>
    </row>
    <row r="12" spans="1:4">
      <c r="A12" s="1142"/>
      <c r="B12" s="1142"/>
    </row>
    <row r="13" spans="1:4" ht="18.75" customHeight="1">
      <c r="A13" s="1140" t="s">
        <v>7</v>
      </c>
      <c r="B13" s="622" t="str">
        <f>IF(Титульный!B9=""," ",INDEX(списки!M2:O185,MATCH(Титульный!B9,списки!M2:M185,0),2))</f>
        <v xml:space="preserve"> </v>
      </c>
      <c r="C13" s="347"/>
    </row>
    <row r="14" spans="1:4" s="351" customFormat="1">
      <c r="A14" s="1139"/>
      <c r="B14" s="1139"/>
    </row>
    <row r="15" spans="1:4">
      <c r="A15" s="1140" t="s">
        <v>8</v>
      </c>
      <c r="B15" s="552" t="s">
        <v>9</v>
      </c>
      <c r="C15" s="355"/>
    </row>
    <row r="16" spans="1:4">
      <c r="A16" s="1143"/>
      <c r="B16" s="1143"/>
      <c r="C16" s="352"/>
    </row>
    <row r="17" spans="1:3" s="351" customFormat="1" ht="25.5" customHeight="1">
      <c r="A17" s="1138" t="s">
        <v>1581</v>
      </c>
      <c r="B17" s="2" t="s">
        <v>1582</v>
      </c>
    </row>
    <row r="18" spans="1:3">
      <c r="A18" s="1143"/>
      <c r="B18" s="1143"/>
      <c r="C18" s="352"/>
    </row>
    <row r="19" spans="1:3">
      <c r="A19" s="1140" t="s">
        <v>181</v>
      </c>
      <c r="B19" s="553" t="s">
        <v>1126</v>
      </c>
      <c r="C19" s="352"/>
    </row>
    <row r="20" spans="1:3">
      <c r="A20" s="1139"/>
      <c r="B20" s="1139"/>
      <c r="C20" s="352"/>
    </row>
    <row r="21" spans="1:3" s="351" customFormat="1" ht="25.5" customHeight="1">
      <c r="A21" s="1138" t="s">
        <v>10</v>
      </c>
      <c r="B21" s="2" t="s">
        <v>1015</v>
      </c>
    </row>
    <row r="22" spans="1:3" s="351" customFormat="1">
      <c r="A22" s="1139"/>
      <c r="B22" s="1139"/>
    </row>
    <row r="23" spans="1:3" ht="29.25" customHeight="1">
      <c r="A23" s="1144" t="s">
        <v>11</v>
      </c>
      <c r="B23" s="2"/>
      <c r="C23" s="352"/>
    </row>
  </sheetData>
  <sheetProtection password="F66E" sheet="1" objects="1" scenarios="1" formatCells="0" formatColumns="0" formatRows="0"/>
  <mergeCells count="1">
    <mergeCell ref="A2:B2"/>
  </mergeCells>
  <dataValidations count="6">
    <dataValidation type="list" allowBlank="1" showInputMessage="1" showErrorMessage="1" sqref="B23">
      <formula1>система_налогообложения</formula1>
    </dataValidation>
    <dataValidation type="list" allowBlank="1" showInputMessage="1" showErrorMessage="1" sqref="B6">
      <formula1>район</formula1>
    </dataValidation>
    <dataValidation type="list" allowBlank="1" showInputMessage="1" showErrorMessage="1" sqref="B7">
      <formula1>муниципальное_образование</formula1>
    </dataValidation>
    <dataValidation type="list" allowBlank="1" showInputMessage="1" showErrorMessage="1" sqref="B9">
      <formula1>ИНН</formula1>
    </dataValidation>
    <dataValidation type="list" allowBlank="1" showInputMessage="1" showErrorMessage="1" sqref="B21">
      <formula1>вид_тарифа</formula1>
    </dataValidation>
    <dataValidation type="list" allowBlank="1" showInputMessage="1" showErrorMessage="1" sqref="B17">
      <formula1>период_регулирования</formula1>
    </dataValidation>
  </dataValidations>
  <pageMargins left="0.31496062992125984" right="0.11811023622047245" top="0.74803149606299213" bottom="0.74803149606299213" header="0.31496062992125984" footer="0.31496062992125984"/>
  <pageSetup paperSize="9" scale="8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AI87"/>
  <sheetViews>
    <sheetView workbookViewId="0">
      <pane xSplit="1" ySplit="9" topLeftCell="B62" activePane="bottomRight" state="frozen"/>
      <selection pane="topRight" activeCell="B1" sqref="B1"/>
      <selection pane="bottomLeft" activeCell="A10" sqref="A10"/>
      <selection pane="bottomRight" sqref="A1:T1"/>
    </sheetView>
  </sheetViews>
  <sheetFormatPr defaultColWidth="9" defaultRowHeight="15"/>
  <cols>
    <col min="1" max="1" width="32" style="130" customWidth="1"/>
    <col min="2" max="3" width="21.140625" style="130" customWidth="1"/>
    <col min="4" max="4" width="20.7109375" style="130" customWidth="1"/>
    <col min="5" max="5" width="18.140625" style="130" customWidth="1"/>
    <col min="6" max="6" width="15.28515625" style="130" customWidth="1"/>
    <col min="7" max="7" width="14.140625" style="130" customWidth="1"/>
    <col min="8" max="9" width="15.5703125" style="130" customWidth="1"/>
    <col min="10" max="10" width="14.42578125" style="130" customWidth="1"/>
    <col min="11" max="11" width="12.7109375" style="130" customWidth="1"/>
    <col min="12" max="12" width="14.7109375" style="130" customWidth="1"/>
    <col min="13" max="13" width="14.7109375" style="130" hidden="1" customWidth="1"/>
    <col min="14" max="14" width="14.28515625" style="130" hidden="1" customWidth="1"/>
    <col min="15" max="19" width="14" style="130" hidden="1" customWidth="1"/>
    <col min="20" max="20" width="11.5703125" style="130" hidden="1" customWidth="1"/>
    <col min="21" max="21" width="14.28515625" style="130" hidden="1" customWidth="1"/>
    <col min="22" max="22" width="9" style="130" customWidth="1"/>
    <col min="23" max="25" width="10" style="130" bestFit="1" customWidth="1"/>
    <col min="26" max="16384" width="9" style="130"/>
  </cols>
  <sheetData>
    <row r="1" spans="1:22" ht="22.5" customHeight="1">
      <c r="A1" s="1549" t="s">
        <v>1790</v>
      </c>
      <c r="B1" s="1549"/>
      <c r="C1" s="1549"/>
      <c r="D1" s="1549"/>
      <c r="E1" s="1549"/>
      <c r="F1" s="1549"/>
      <c r="G1" s="1549"/>
      <c r="H1" s="1549"/>
      <c r="I1" s="1549"/>
      <c r="J1" s="1549"/>
      <c r="K1" s="1549"/>
      <c r="L1" s="1549"/>
      <c r="M1" s="1549"/>
      <c r="N1" s="1549"/>
      <c r="O1" s="1549"/>
      <c r="P1" s="1549"/>
      <c r="Q1" s="1549"/>
      <c r="R1" s="1549"/>
      <c r="S1" s="1549"/>
      <c r="T1" s="1549"/>
      <c r="U1" s="125"/>
    </row>
    <row r="2" spans="1:22" s="150" customFormat="1" ht="9.75" customHeight="1">
      <c r="A2" s="148"/>
      <c r="B2" s="148"/>
      <c r="C2" s="148"/>
      <c r="D2" s="148"/>
      <c r="E2" s="148"/>
      <c r="F2" s="148"/>
      <c r="G2" s="149"/>
      <c r="H2" s="127"/>
      <c r="I2" s="127"/>
      <c r="J2" s="148"/>
      <c r="K2" s="148"/>
      <c r="L2" s="148"/>
      <c r="M2" s="148"/>
      <c r="N2" s="148"/>
      <c r="O2" s="148"/>
      <c r="P2" s="148"/>
      <c r="Q2" s="148"/>
      <c r="R2" s="148"/>
      <c r="S2" s="148"/>
      <c r="T2" s="148"/>
      <c r="U2" s="148"/>
    </row>
    <row r="3" spans="1:22" s="132" customFormat="1" ht="21.75" customHeight="1">
      <c r="A3" s="1550" t="str">
        <f>Титульный!B10</f>
        <v xml:space="preserve"> </v>
      </c>
      <c r="B3" s="1550"/>
      <c r="C3" s="1550"/>
      <c r="D3" s="1550"/>
      <c r="E3" s="1550"/>
      <c r="F3" s="1550"/>
      <c r="G3" s="1550"/>
      <c r="H3" s="1550"/>
      <c r="I3" s="1550"/>
      <c r="J3" s="1550"/>
      <c r="K3" s="1550"/>
      <c r="L3" s="1550"/>
      <c r="M3" s="1550"/>
      <c r="N3" s="1550"/>
      <c r="O3" s="1550"/>
      <c r="P3" s="1550"/>
      <c r="Q3" s="1550"/>
      <c r="R3" s="1550"/>
      <c r="S3" s="1550"/>
      <c r="T3" s="1550"/>
      <c r="U3" s="151"/>
    </row>
    <row r="4" spans="1:22" s="132" customFormat="1">
      <c r="A4" s="1551" t="str">
        <f>Титульный!B21</f>
        <v/>
      </c>
      <c r="B4" s="1551"/>
      <c r="C4" s="1551"/>
      <c r="D4" s="1551"/>
      <c r="E4" s="1551"/>
      <c r="F4" s="1551"/>
      <c r="G4" s="1551"/>
      <c r="H4" s="1551"/>
      <c r="I4" s="1551"/>
      <c r="J4" s="1551"/>
      <c r="K4" s="1551"/>
      <c r="L4" s="1551"/>
      <c r="M4" s="1551"/>
      <c r="N4" s="1551"/>
      <c r="O4" s="1551"/>
      <c r="P4" s="1551"/>
      <c r="Q4" s="1551"/>
      <c r="R4" s="1551"/>
      <c r="S4" s="1551"/>
      <c r="T4" s="1551"/>
      <c r="U4" s="151"/>
    </row>
    <row r="5" spans="1:22" s="132" customFormat="1">
      <c r="A5" s="1552"/>
      <c r="B5" s="1552"/>
      <c r="C5" s="1552"/>
      <c r="D5" s="1552"/>
      <c r="E5" s="1552"/>
      <c r="F5" s="1552"/>
      <c r="G5" s="1552"/>
      <c r="H5" s="1552"/>
      <c r="I5" s="1552"/>
      <c r="J5" s="1552"/>
      <c r="K5" s="1552"/>
      <c r="L5" s="1552"/>
      <c r="M5" s="1552"/>
      <c r="N5" s="1552"/>
      <c r="O5" s="1552"/>
      <c r="P5" s="1552"/>
      <c r="Q5" s="1552"/>
      <c r="R5" s="1552"/>
      <c r="S5" s="1552"/>
      <c r="T5" s="1552"/>
      <c r="U5" s="151"/>
    </row>
    <row r="6" spans="1:22" ht="11.25" customHeight="1">
      <c r="A6" s="133"/>
      <c r="B6" s="133"/>
      <c r="C6" s="133"/>
      <c r="D6" s="133"/>
      <c r="E6" s="133"/>
      <c r="F6" s="133"/>
      <c r="G6" s="133"/>
      <c r="H6" s="133"/>
      <c r="I6" s="133"/>
      <c r="J6" s="133"/>
      <c r="K6" s="133"/>
      <c r="L6" s="134" t="s">
        <v>588</v>
      </c>
      <c r="M6" s="134"/>
      <c r="N6" s="134"/>
      <c r="O6" s="133"/>
      <c r="P6" s="133"/>
      <c r="Q6" s="133"/>
      <c r="R6" s="133"/>
      <c r="S6" s="134"/>
      <c r="T6" s="134"/>
      <c r="U6" s="125"/>
    </row>
    <row r="7" spans="1:22" s="136" customFormat="1" ht="23.25" customHeight="1">
      <c r="A7" s="1554" t="s">
        <v>589</v>
      </c>
      <c r="B7" s="1563" t="s">
        <v>396</v>
      </c>
      <c r="C7" s="1564"/>
      <c r="D7" s="1564"/>
      <c r="E7" s="1564"/>
      <c r="F7" s="1564"/>
      <c r="G7" s="1564"/>
      <c r="H7" s="1564"/>
      <c r="I7" s="1564"/>
      <c r="J7" s="1564"/>
      <c r="K7" s="1564"/>
      <c r="L7" s="1565"/>
      <c r="M7" s="1109"/>
      <c r="N7" s="1561" t="s">
        <v>1659</v>
      </c>
      <c r="O7" s="1561"/>
      <c r="P7" s="1561"/>
      <c r="Q7" s="1561"/>
      <c r="R7" s="1561"/>
      <c r="S7" s="1562"/>
      <c r="T7" s="1553"/>
      <c r="U7" s="1553"/>
    </row>
    <row r="8" spans="1:22" s="136" customFormat="1" ht="59.25" customHeight="1">
      <c r="A8" s="1555"/>
      <c r="B8" s="1554" t="s">
        <v>600</v>
      </c>
      <c r="C8" s="1554" t="s">
        <v>601</v>
      </c>
      <c r="D8" s="1554" t="s">
        <v>602</v>
      </c>
      <c r="E8" s="1554" t="s">
        <v>603</v>
      </c>
      <c r="F8" s="1554" t="s">
        <v>591</v>
      </c>
      <c r="G8" s="1554" t="s">
        <v>592</v>
      </c>
      <c r="H8" s="1554" t="s">
        <v>608</v>
      </c>
      <c r="I8" s="1554" t="s">
        <v>606</v>
      </c>
      <c r="J8" s="1554" t="s">
        <v>604</v>
      </c>
      <c r="K8" s="1554" t="s">
        <v>607</v>
      </c>
      <c r="L8" s="1554" t="s">
        <v>605</v>
      </c>
      <c r="M8" s="1553" t="s">
        <v>1649</v>
      </c>
      <c r="N8" s="154" t="s">
        <v>595</v>
      </c>
      <c r="O8" s="1559" t="s">
        <v>594</v>
      </c>
      <c r="P8" s="1108" t="s">
        <v>596</v>
      </c>
      <c r="Q8" s="1559" t="s">
        <v>597</v>
      </c>
      <c r="R8" s="1559" t="s">
        <v>599</v>
      </c>
      <c r="S8" s="1559" t="s">
        <v>598</v>
      </c>
      <c r="T8" s="1557" t="s">
        <v>306</v>
      </c>
      <c r="U8" s="1558" t="s">
        <v>609</v>
      </c>
    </row>
    <row r="9" spans="1:22" s="136" customFormat="1" ht="33.75" customHeight="1">
      <c r="A9" s="1556"/>
      <c r="B9" s="1556"/>
      <c r="C9" s="1556"/>
      <c r="D9" s="1556"/>
      <c r="E9" s="1556"/>
      <c r="F9" s="1556"/>
      <c r="G9" s="1556"/>
      <c r="H9" s="1556"/>
      <c r="I9" s="1556"/>
      <c r="J9" s="1556"/>
      <c r="K9" s="1556"/>
      <c r="L9" s="1556"/>
      <c r="M9" s="1553"/>
      <c r="N9" s="141">
        <v>43101</v>
      </c>
      <c r="O9" s="1560"/>
      <c r="P9" s="141">
        <v>43466</v>
      </c>
      <c r="Q9" s="1560"/>
      <c r="R9" s="1560"/>
      <c r="S9" s="1560"/>
      <c r="T9" s="1557"/>
      <c r="U9" s="1558"/>
    </row>
    <row r="10" spans="1:22">
      <c r="A10" s="571"/>
      <c r="B10" s="578"/>
      <c r="C10" s="571"/>
      <c r="D10" s="571"/>
      <c r="E10" s="571"/>
      <c r="F10" s="139"/>
      <c r="G10" s="24"/>
      <c r="H10" s="570">
        <f>IF(G10=0,0,E10/G10)</f>
        <v>0</v>
      </c>
      <c r="I10" s="139"/>
      <c r="J10" s="570">
        <f>IF(DATEDIF(F10,I10,"m")*H10&lt;E10,(E10-DATEDIF(F10,I10,"m")*H10),0)</f>
        <v>0</v>
      </c>
      <c r="K10" s="570">
        <f t="shared" ref="K10:K14" si="0">IF(E10=0,0,(E10-J10)/E10*100)</f>
        <v>0</v>
      </c>
      <c r="L10" s="142"/>
      <c r="M10" s="147"/>
      <c r="N10" s="554">
        <f>IF(DATEDIF(F10,$N$9,"m")*H10&lt;E10,(E10-DATEDIF(F10,$N$9,"m")*H10),0)</f>
        <v>0</v>
      </c>
      <c r="O10" s="554">
        <f>IF(H10*12&lt;N10,H10*12,N10)</f>
        <v>0</v>
      </c>
      <c r="P10" s="554">
        <f>IF(H10*12&gt;N10,0,(N10-12*H10))</f>
        <v>0</v>
      </c>
      <c r="Q10" s="554">
        <f>IF(H10=0,0,IF(12*H10&lt;N10,(13*N10-78*H10)/13,(N10*N10/H10-H10*(N10/H10)*0.5*(N10/H10-1))/13))</f>
        <v>0</v>
      </c>
      <c r="R10" s="554">
        <f>IF(Титульный!$B$23="Общая",2.2,0)</f>
        <v>0</v>
      </c>
      <c r="S10" s="554">
        <f t="shared" ref="S10:S29" si="1">Q10*R10/100</f>
        <v>0</v>
      </c>
      <c r="T10" s="554">
        <f>IF(Титульный!$B$23="Общая",0,SUM(O10,S10)*0.18)</f>
        <v>0</v>
      </c>
      <c r="U10" s="554">
        <f>O10+S10+T10</f>
        <v>0</v>
      </c>
    </row>
    <row r="11" spans="1:22">
      <c r="A11" s="571"/>
      <c r="B11" s="578"/>
      <c r="C11" s="571"/>
      <c r="D11" s="571"/>
      <c r="E11" s="571"/>
      <c r="F11" s="139"/>
      <c r="G11" s="24"/>
      <c r="H11" s="570">
        <f t="shared" ref="H11:H29" si="2">IF(G11=0,0,E11/G11)</f>
        <v>0</v>
      </c>
      <c r="I11" s="139"/>
      <c r="J11" s="570">
        <f>IF(DATEDIF(F11,I11,"m")*H11&lt;E11,(E11-DATEDIF(F11,I11,"m")*H11),0)</f>
        <v>0</v>
      </c>
      <c r="K11" s="570">
        <f t="shared" si="0"/>
        <v>0</v>
      </c>
      <c r="L11" s="142"/>
      <c r="M11" s="147"/>
      <c r="N11" s="554">
        <f>IF(DATEDIF(F11,$N$9,"m")*H11&lt;E11,(E11-DATEDIF(F11,$N$9,"m")*H11),0)</f>
        <v>0</v>
      </c>
      <c r="O11" s="554">
        <f t="shared" ref="O11:O29" si="3">IF(H11*12&lt;N11,H11*12,N11)</f>
        <v>0</v>
      </c>
      <c r="P11" s="554">
        <f>IF(H11*12&gt;N11,0,(N11-12*H11))</f>
        <v>0</v>
      </c>
      <c r="Q11" s="554">
        <f>IF(H11=0,0,IF(12*H11&lt;N11,(13*N11-78*H11)/13,(N11*N11/H11-H11*(N11/H11)*0.5*(N11/H11-1))/13))</f>
        <v>0</v>
      </c>
      <c r="R11" s="554">
        <f>IF(Титульный!$B$23="Общая",2.2,0)</f>
        <v>0</v>
      </c>
      <c r="S11" s="554">
        <f t="shared" si="1"/>
        <v>0</v>
      </c>
      <c r="T11" s="554">
        <f>IF(Титульный!$B$23="Общая",0,SUM(O11,S11)*0.18)</f>
        <v>0</v>
      </c>
      <c r="U11" s="554">
        <f t="shared" ref="U11:U70" si="4">O11+S11+T11</f>
        <v>0</v>
      </c>
    </row>
    <row r="12" spans="1:22">
      <c r="A12" s="571"/>
      <c r="B12" s="578"/>
      <c r="C12" s="571"/>
      <c r="D12" s="571"/>
      <c r="E12" s="571"/>
      <c r="F12" s="139"/>
      <c r="G12" s="24"/>
      <c r="H12" s="570">
        <f t="shared" si="2"/>
        <v>0</v>
      </c>
      <c r="I12" s="139"/>
      <c r="J12" s="570">
        <f>IF(DATEDIF(F12,I12,"m")*H12&lt;E12,(E12-DATEDIF(F12,I12,"m")*H12),0)</f>
        <v>0</v>
      </c>
      <c r="K12" s="570">
        <f t="shared" si="0"/>
        <v>0</v>
      </c>
      <c r="L12" s="142"/>
      <c r="M12" s="147"/>
      <c r="N12" s="554">
        <f>IF(DATEDIF(F12,$N$9,"m")*H12&lt;E12,(E12-DATEDIF(F12,$N$9,"m")*H12),0)</f>
        <v>0</v>
      </c>
      <c r="O12" s="554">
        <f t="shared" si="3"/>
        <v>0</v>
      </c>
      <c r="P12" s="554">
        <f>IF(H12*12&gt;N12,0,(N12-12*H12))</f>
        <v>0</v>
      </c>
      <c r="Q12" s="554">
        <f>IF(H12=0,0,IF(12*H12&lt;N12,(13*N12-78*H12)/13,(N12*N12/H12-H12*(N12/H12)*0.5*(N12/H12-1))/13))</f>
        <v>0</v>
      </c>
      <c r="R12" s="554">
        <f>IF(Титульный!$B$23="Общая",2.2,0)</f>
        <v>0</v>
      </c>
      <c r="S12" s="554">
        <f t="shared" si="1"/>
        <v>0</v>
      </c>
      <c r="T12" s="554">
        <f>IF(Титульный!$B$23="Общая",0,SUM(O12,S12)*0.18)</f>
        <v>0</v>
      </c>
      <c r="U12" s="554">
        <f t="shared" si="4"/>
        <v>0</v>
      </c>
    </row>
    <row r="13" spans="1:22">
      <c r="A13" s="571"/>
      <c r="B13" s="578"/>
      <c r="C13" s="571"/>
      <c r="D13" s="571"/>
      <c r="E13" s="571"/>
      <c r="F13" s="139"/>
      <c r="G13" s="24"/>
      <c r="H13" s="570">
        <f t="shared" si="2"/>
        <v>0</v>
      </c>
      <c r="I13" s="139"/>
      <c r="J13" s="570">
        <f>IF(DATEDIF(F13,I13,"m")*H13&lt;E13,(E13-DATEDIF(F13,I13,"m")*H13),0)</f>
        <v>0</v>
      </c>
      <c r="K13" s="570">
        <f t="shared" si="0"/>
        <v>0</v>
      </c>
      <c r="L13" s="142"/>
      <c r="M13" s="147"/>
      <c r="N13" s="554">
        <f>IF(DATEDIF(F13,$N$9,"m")*H13&lt;E13,(E13-DATEDIF(F13,$N$9,"m")*H13),0)</f>
        <v>0</v>
      </c>
      <c r="O13" s="554">
        <f t="shared" si="3"/>
        <v>0</v>
      </c>
      <c r="P13" s="554">
        <f>IF(H13*12&gt;N13,0,(N13-12*H13))</f>
        <v>0</v>
      </c>
      <c r="Q13" s="554">
        <f>IF(H13=0,0,IF(12*H13&lt;N13,(13*N13-78*H13)/13,(N13*N13/H13-H13*(N13/H13)*0.5*(N13/H13-1))/13))</f>
        <v>0</v>
      </c>
      <c r="R13" s="554">
        <f>IF(Титульный!$B$23="Общая",2.2,0)</f>
        <v>0</v>
      </c>
      <c r="S13" s="554">
        <f t="shared" si="1"/>
        <v>0</v>
      </c>
      <c r="T13" s="554">
        <f>IF(Титульный!$B$23="Общая",0,SUM(O13,S13)*0.18)</f>
        <v>0</v>
      </c>
      <c r="U13" s="554">
        <f t="shared" si="4"/>
        <v>0</v>
      </c>
      <c r="V13" s="91"/>
    </row>
    <row r="14" spans="1:22">
      <c r="A14" s="571"/>
      <c r="B14" s="578"/>
      <c r="C14" s="571"/>
      <c r="D14" s="571"/>
      <c r="E14" s="571"/>
      <c r="F14" s="139"/>
      <c r="G14" s="24"/>
      <c r="H14" s="570">
        <f t="shared" si="2"/>
        <v>0</v>
      </c>
      <c r="I14" s="139"/>
      <c r="J14" s="570">
        <f>IF(DATEDIF(F14,I14,"m")*H14&lt;E14,(E14-DATEDIF(F14,I14,"m")*H14),0)</f>
        <v>0</v>
      </c>
      <c r="K14" s="570">
        <f t="shared" si="0"/>
        <v>0</v>
      </c>
      <c r="L14" s="142"/>
      <c r="M14" s="147"/>
      <c r="N14" s="554">
        <f>IF(DATEDIF(F14,$N$9,"m")*H14&lt;E14,(E14-DATEDIF(F14,$N$9,"m")*H14),0)</f>
        <v>0</v>
      </c>
      <c r="O14" s="554">
        <f t="shared" si="3"/>
        <v>0</v>
      </c>
      <c r="P14" s="554">
        <f>IF(H14*12&gt;N14,0,(N14-12*H14))</f>
        <v>0</v>
      </c>
      <c r="Q14" s="554">
        <f>IF(H14=0,0,IF(12*H14&lt;N14,(13*N14-78*H14)/13,(N14*N14/H14-H14*(N14/H14)*0.5*(N14/H14-1))/13))</f>
        <v>0</v>
      </c>
      <c r="R14" s="554">
        <f>IF(Титульный!$B$23="Общая",2.2,0)</f>
        <v>0</v>
      </c>
      <c r="S14" s="554">
        <f t="shared" si="1"/>
        <v>0</v>
      </c>
      <c r="T14" s="554">
        <f>IF(Титульный!$B$23="Общая",0,SUM(O14,S14)*0.18)</f>
        <v>0</v>
      </c>
      <c r="U14" s="554">
        <f t="shared" si="4"/>
        <v>0</v>
      </c>
    </row>
    <row r="15" spans="1:22">
      <c r="A15" s="24"/>
      <c r="B15" s="24"/>
      <c r="C15" s="24"/>
      <c r="D15" s="24"/>
      <c r="E15" s="142"/>
      <c r="F15" s="139"/>
      <c r="G15" s="24"/>
      <c r="H15" s="570">
        <f t="shared" si="2"/>
        <v>0</v>
      </c>
      <c r="I15" s="139"/>
      <c r="J15" s="570">
        <f t="shared" ref="J15:J29" si="5">IF(DATEDIF(F15,I15,"m")*H15&lt;E15,(E15-DATEDIF(F15,I15,"m")*H15),0)</f>
        <v>0</v>
      </c>
      <c r="K15" s="570">
        <f t="shared" ref="K15:K29" si="6">IF(E15=0,0,(E15-J15)/E15*100)</f>
        <v>0</v>
      </c>
      <c r="L15" s="142"/>
      <c r="M15" s="147"/>
      <c r="N15" s="554">
        <f t="shared" ref="N15:N29" si="7">IF(DATEDIF(F15,$N$9,"m")*H15&lt;E15,(E15-DATEDIF(F15,$N$9,"m")*H15),0)</f>
        <v>0</v>
      </c>
      <c r="O15" s="554">
        <f t="shared" si="3"/>
        <v>0</v>
      </c>
      <c r="P15" s="554">
        <f t="shared" ref="P15:P29" si="8">IF(H15*12&gt;N15,0,(N15-12*H15))</f>
        <v>0</v>
      </c>
      <c r="Q15" s="554">
        <f t="shared" ref="Q15:Q29" si="9">IF(H15=0,0,IF(12*H15&lt;N15,(13*N15-78*H15)/13,(N15*N15/H15-H15*(N15/H15)*0.5*(N15/H15-1))/13))</f>
        <v>0</v>
      </c>
      <c r="R15" s="554">
        <f>IF(Титульный!$B$23="Общая",2.2,0)</f>
        <v>0</v>
      </c>
      <c r="S15" s="554">
        <f t="shared" si="1"/>
        <v>0</v>
      </c>
      <c r="T15" s="554">
        <f>IF(Титульный!$B$23="Общая",0,SUM(O15,S15)*0.18)</f>
        <v>0</v>
      </c>
      <c r="U15" s="554">
        <f t="shared" si="4"/>
        <v>0</v>
      </c>
    </row>
    <row r="16" spans="1:22">
      <c r="A16" s="24"/>
      <c r="B16" s="24"/>
      <c r="C16" s="24"/>
      <c r="D16" s="24"/>
      <c r="E16" s="142"/>
      <c r="F16" s="139"/>
      <c r="G16" s="24"/>
      <c r="H16" s="570">
        <f t="shared" si="2"/>
        <v>0</v>
      </c>
      <c r="I16" s="139"/>
      <c r="J16" s="570">
        <f t="shared" si="5"/>
        <v>0</v>
      </c>
      <c r="K16" s="570">
        <f t="shared" si="6"/>
        <v>0</v>
      </c>
      <c r="L16" s="142"/>
      <c r="M16" s="147"/>
      <c r="N16" s="554">
        <f t="shared" si="7"/>
        <v>0</v>
      </c>
      <c r="O16" s="554">
        <f t="shared" si="3"/>
        <v>0</v>
      </c>
      <c r="P16" s="554">
        <f t="shared" si="8"/>
        <v>0</v>
      </c>
      <c r="Q16" s="554">
        <f t="shared" si="9"/>
        <v>0</v>
      </c>
      <c r="R16" s="554">
        <f>IF(Титульный!$B$23="Общая",2.2,0)</f>
        <v>0</v>
      </c>
      <c r="S16" s="554">
        <f t="shared" si="1"/>
        <v>0</v>
      </c>
      <c r="T16" s="554">
        <f>IF(Титульный!$B$23="Общая",0,SUM(O16,S16)*0.18)</f>
        <v>0</v>
      </c>
      <c r="U16" s="554">
        <f t="shared" si="4"/>
        <v>0</v>
      </c>
    </row>
    <row r="17" spans="1:35">
      <c r="A17" s="24"/>
      <c r="B17" s="24"/>
      <c r="C17" s="24"/>
      <c r="D17" s="24"/>
      <c r="E17" s="142"/>
      <c r="F17" s="139"/>
      <c r="G17" s="24"/>
      <c r="H17" s="570">
        <f t="shared" si="2"/>
        <v>0</v>
      </c>
      <c r="I17" s="139"/>
      <c r="J17" s="570">
        <f t="shared" si="5"/>
        <v>0</v>
      </c>
      <c r="K17" s="570">
        <f t="shared" si="6"/>
        <v>0</v>
      </c>
      <c r="L17" s="142"/>
      <c r="M17" s="147"/>
      <c r="N17" s="554">
        <f t="shared" si="7"/>
        <v>0</v>
      </c>
      <c r="O17" s="554">
        <f t="shared" si="3"/>
        <v>0</v>
      </c>
      <c r="P17" s="554">
        <f t="shared" si="8"/>
        <v>0</v>
      </c>
      <c r="Q17" s="554">
        <f t="shared" si="9"/>
        <v>0</v>
      </c>
      <c r="R17" s="554">
        <f>IF(Титульный!$B$23="Общая",2.2,0)</f>
        <v>0</v>
      </c>
      <c r="S17" s="554">
        <f t="shared" si="1"/>
        <v>0</v>
      </c>
      <c r="T17" s="554">
        <f>IF(Титульный!$B$23="Общая",0,SUM(O17,S17)*0.18)</f>
        <v>0</v>
      </c>
      <c r="U17" s="554">
        <f t="shared" si="4"/>
        <v>0</v>
      </c>
    </row>
    <row r="18" spans="1:35">
      <c r="A18" s="24"/>
      <c r="B18" s="24"/>
      <c r="C18" s="24"/>
      <c r="D18" s="24"/>
      <c r="E18" s="142"/>
      <c r="F18" s="139"/>
      <c r="G18" s="24"/>
      <c r="H18" s="570">
        <f t="shared" si="2"/>
        <v>0</v>
      </c>
      <c r="I18" s="139"/>
      <c r="J18" s="570">
        <f t="shared" si="5"/>
        <v>0</v>
      </c>
      <c r="K18" s="570">
        <f t="shared" si="6"/>
        <v>0</v>
      </c>
      <c r="L18" s="142"/>
      <c r="M18" s="147"/>
      <c r="N18" s="554">
        <f t="shared" si="7"/>
        <v>0</v>
      </c>
      <c r="O18" s="554">
        <f t="shared" si="3"/>
        <v>0</v>
      </c>
      <c r="P18" s="554">
        <f t="shared" si="8"/>
        <v>0</v>
      </c>
      <c r="Q18" s="554">
        <f t="shared" si="9"/>
        <v>0</v>
      </c>
      <c r="R18" s="554">
        <f>IF(Титульный!$B$23="Общая",2.2,0)</f>
        <v>0</v>
      </c>
      <c r="S18" s="554">
        <f t="shared" si="1"/>
        <v>0</v>
      </c>
      <c r="T18" s="554">
        <f>IF(Титульный!$B$23="Общая",0,SUM(O18,S18)*0.18)</f>
        <v>0</v>
      </c>
      <c r="U18" s="554">
        <f t="shared" si="4"/>
        <v>0</v>
      </c>
      <c r="W18" s="153"/>
      <c r="X18" s="153"/>
      <c r="Y18" s="153"/>
      <c r="Z18" s="153"/>
      <c r="AA18" s="153"/>
      <c r="AB18" s="153"/>
      <c r="AC18" s="153"/>
      <c r="AD18" s="153"/>
      <c r="AE18" s="153"/>
      <c r="AF18" s="153"/>
      <c r="AG18" s="153"/>
      <c r="AH18" s="153"/>
      <c r="AI18" s="153"/>
    </row>
    <row r="19" spans="1:35">
      <c r="A19" s="24"/>
      <c r="B19" s="24"/>
      <c r="C19" s="24"/>
      <c r="D19" s="24"/>
      <c r="E19" s="142"/>
      <c r="F19" s="139"/>
      <c r="G19" s="24"/>
      <c r="H19" s="570">
        <f t="shared" si="2"/>
        <v>0</v>
      </c>
      <c r="I19" s="139"/>
      <c r="J19" s="570">
        <f t="shared" si="5"/>
        <v>0</v>
      </c>
      <c r="K19" s="570">
        <f t="shared" si="6"/>
        <v>0</v>
      </c>
      <c r="L19" s="142"/>
      <c r="M19" s="147"/>
      <c r="N19" s="554">
        <f t="shared" si="7"/>
        <v>0</v>
      </c>
      <c r="O19" s="554">
        <f t="shared" si="3"/>
        <v>0</v>
      </c>
      <c r="P19" s="554">
        <f t="shared" si="8"/>
        <v>0</v>
      </c>
      <c r="Q19" s="554">
        <f t="shared" si="9"/>
        <v>0</v>
      </c>
      <c r="R19" s="554">
        <f>IF(Титульный!$B$23="Общая",2.2,0)</f>
        <v>0</v>
      </c>
      <c r="S19" s="554">
        <f t="shared" si="1"/>
        <v>0</v>
      </c>
      <c r="T19" s="554">
        <f>IF(Титульный!$B$23="Общая",0,SUM(O19,S19)*0.18)</f>
        <v>0</v>
      </c>
      <c r="U19" s="554">
        <f t="shared" si="4"/>
        <v>0</v>
      </c>
    </row>
    <row r="20" spans="1:35">
      <c r="A20" s="24"/>
      <c r="B20" s="24"/>
      <c r="C20" s="24"/>
      <c r="D20" s="24"/>
      <c r="E20" s="142"/>
      <c r="F20" s="139"/>
      <c r="G20" s="24"/>
      <c r="H20" s="570">
        <f t="shared" si="2"/>
        <v>0</v>
      </c>
      <c r="I20" s="139"/>
      <c r="J20" s="570">
        <f t="shared" si="5"/>
        <v>0</v>
      </c>
      <c r="K20" s="570">
        <f t="shared" si="6"/>
        <v>0</v>
      </c>
      <c r="L20" s="142"/>
      <c r="M20" s="147"/>
      <c r="N20" s="554">
        <f t="shared" si="7"/>
        <v>0</v>
      </c>
      <c r="O20" s="554">
        <f t="shared" si="3"/>
        <v>0</v>
      </c>
      <c r="P20" s="554">
        <f t="shared" si="8"/>
        <v>0</v>
      </c>
      <c r="Q20" s="554">
        <f t="shared" si="9"/>
        <v>0</v>
      </c>
      <c r="R20" s="554">
        <f>IF(Титульный!$B$23="Общая",2.2,0)</f>
        <v>0</v>
      </c>
      <c r="S20" s="554">
        <f t="shared" si="1"/>
        <v>0</v>
      </c>
      <c r="T20" s="554">
        <f>IF(Титульный!$B$23="Общая",0,SUM(O20,S20)*0.18)</f>
        <v>0</v>
      </c>
      <c r="U20" s="554">
        <f t="shared" si="4"/>
        <v>0</v>
      </c>
    </row>
    <row r="21" spans="1:35">
      <c r="A21" s="24"/>
      <c r="B21" s="24"/>
      <c r="C21" s="24"/>
      <c r="D21" s="24"/>
      <c r="E21" s="142"/>
      <c r="F21" s="139"/>
      <c r="G21" s="24"/>
      <c r="H21" s="570">
        <f t="shared" si="2"/>
        <v>0</v>
      </c>
      <c r="I21" s="139"/>
      <c r="J21" s="570">
        <f t="shared" si="5"/>
        <v>0</v>
      </c>
      <c r="K21" s="570">
        <f t="shared" si="6"/>
        <v>0</v>
      </c>
      <c r="L21" s="142"/>
      <c r="M21" s="147"/>
      <c r="N21" s="554">
        <f t="shared" si="7"/>
        <v>0</v>
      </c>
      <c r="O21" s="554">
        <f t="shared" si="3"/>
        <v>0</v>
      </c>
      <c r="P21" s="554">
        <f t="shared" si="8"/>
        <v>0</v>
      </c>
      <c r="Q21" s="554">
        <f t="shared" si="9"/>
        <v>0</v>
      </c>
      <c r="R21" s="554">
        <f>IF(Титульный!$B$23="Общая",2.2,0)</f>
        <v>0</v>
      </c>
      <c r="S21" s="554">
        <f t="shared" si="1"/>
        <v>0</v>
      </c>
      <c r="T21" s="554">
        <f>IF(Титульный!$B$23="Общая",0,SUM(O21,S21)*0.18)</f>
        <v>0</v>
      </c>
      <c r="U21" s="554">
        <f t="shared" si="4"/>
        <v>0</v>
      </c>
    </row>
    <row r="22" spans="1:35">
      <c r="A22" s="24"/>
      <c r="B22" s="24"/>
      <c r="C22" s="24"/>
      <c r="D22" s="24"/>
      <c r="E22" s="142"/>
      <c r="F22" s="139"/>
      <c r="G22" s="24"/>
      <c r="H22" s="570">
        <f t="shared" si="2"/>
        <v>0</v>
      </c>
      <c r="I22" s="139"/>
      <c r="J22" s="570">
        <f t="shared" si="5"/>
        <v>0</v>
      </c>
      <c r="K22" s="570">
        <f t="shared" si="6"/>
        <v>0</v>
      </c>
      <c r="L22" s="142"/>
      <c r="M22" s="147"/>
      <c r="N22" s="554">
        <f t="shared" si="7"/>
        <v>0</v>
      </c>
      <c r="O22" s="554">
        <f t="shared" si="3"/>
        <v>0</v>
      </c>
      <c r="P22" s="554">
        <f t="shared" si="8"/>
        <v>0</v>
      </c>
      <c r="Q22" s="554">
        <f t="shared" si="9"/>
        <v>0</v>
      </c>
      <c r="R22" s="554">
        <f>IF(Титульный!$B$23="Общая",2.2,0)</f>
        <v>0</v>
      </c>
      <c r="S22" s="554">
        <f t="shared" si="1"/>
        <v>0</v>
      </c>
      <c r="T22" s="554">
        <f>IF(Титульный!$B$23="Общая",0,SUM(O22,S22)*0.18)</f>
        <v>0</v>
      </c>
      <c r="U22" s="554">
        <f t="shared" si="4"/>
        <v>0</v>
      </c>
    </row>
    <row r="23" spans="1:35">
      <c r="A23" s="24"/>
      <c r="B23" s="24"/>
      <c r="C23" s="24"/>
      <c r="D23" s="24"/>
      <c r="E23" s="142"/>
      <c r="F23" s="139"/>
      <c r="G23" s="24"/>
      <c r="H23" s="570">
        <f t="shared" si="2"/>
        <v>0</v>
      </c>
      <c r="I23" s="139"/>
      <c r="J23" s="570">
        <f t="shared" si="5"/>
        <v>0</v>
      </c>
      <c r="K23" s="570">
        <f t="shared" si="6"/>
        <v>0</v>
      </c>
      <c r="L23" s="142"/>
      <c r="M23" s="147"/>
      <c r="N23" s="554">
        <f t="shared" si="7"/>
        <v>0</v>
      </c>
      <c r="O23" s="554">
        <f t="shared" si="3"/>
        <v>0</v>
      </c>
      <c r="P23" s="554">
        <f t="shared" si="8"/>
        <v>0</v>
      </c>
      <c r="Q23" s="554">
        <f t="shared" si="9"/>
        <v>0</v>
      </c>
      <c r="R23" s="554">
        <f>IF(Титульный!$B$23="Общая",2.2,0)</f>
        <v>0</v>
      </c>
      <c r="S23" s="554">
        <f t="shared" si="1"/>
        <v>0</v>
      </c>
      <c r="T23" s="554">
        <f>IF(Титульный!$B$23="Общая",0,SUM(O23,S23)*0.18)</f>
        <v>0</v>
      </c>
      <c r="U23" s="554">
        <f t="shared" si="4"/>
        <v>0</v>
      </c>
      <c r="Y23" s="153"/>
    </row>
    <row r="24" spans="1:35">
      <c r="A24" s="24"/>
      <c r="B24" s="24"/>
      <c r="C24" s="24"/>
      <c r="D24" s="24"/>
      <c r="E24" s="142"/>
      <c r="F24" s="139"/>
      <c r="G24" s="24"/>
      <c r="H24" s="570">
        <f t="shared" si="2"/>
        <v>0</v>
      </c>
      <c r="I24" s="139"/>
      <c r="J24" s="570">
        <f t="shared" si="5"/>
        <v>0</v>
      </c>
      <c r="K24" s="570">
        <f t="shared" si="6"/>
        <v>0</v>
      </c>
      <c r="L24" s="142"/>
      <c r="M24" s="147"/>
      <c r="N24" s="554">
        <f t="shared" si="7"/>
        <v>0</v>
      </c>
      <c r="O24" s="554">
        <f t="shared" si="3"/>
        <v>0</v>
      </c>
      <c r="P24" s="554">
        <f t="shared" si="8"/>
        <v>0</v>
      </c>
      <c r="Q24" s="554">
        <f t="shared" si="9"/>
        <v>0</v>
      </c>
      <c r="R24" s="554">
        <f>IF(Титульный!$B$23="Общая",2.2,0)</f>
        <v>0</v>
      </c>
      <c r="S24" s="554">
        <f t="shared" si="1"/>
        <v>0</v>
      </c>
      <c r="T24" s="554">
        <f>IF(Титульный!$B$23="Общая",0,SUM(O24,S24)*0.18)</f>
        <v>0</v>
      </c>
      <c r="U24" s="554">
        <f t="shared" si="4"/>
        <v>0</v>
      </c>
    </row>
    <row r="25" spans="1:35">
      <c r="A25" s="24"/>
      <c r="B25" s="24"/>
      <c r="C25" s="24"/>
      <c r="D25" s="24"/>
      <c r="E25" s="142"/>
      <c r="F25" s="139"/>
      <c r="G25" s="24"/>
      <c r="H25" s="570">
        <f t="shared" si="2"/>
        <v>0</v>
      </c>
      <c r="I25" s="139"/>
      <c r="J25" s="570">
        <f t="shared" si="5"/>
        <v>0</v>
      </c>
      <c r="K25" s="570">
        <f t="shared" si="6"/>
        <v>0</v>
      </c>
      <c r="L25" s="142"/>
      <c r="M25" s="147"/>
      <c r="N25" s="554">
        <f t="shared" si="7"/>
        <v>0</v>
      </c>
      <c r="O25" s="554">
        <f t="shared" si="3"/>
        <v>0</v>
      </c>
      <c r="P25" s="554">
        <f t="shared" si="8"/>
        <v>0</v>
      </c>
      <c r="Q25" s="554">
        <f t="shared" si="9"/>
        <v>0</v>
      </c>
      <c r="R25" s="554">
        <f>IF(Титульный!$B$23="Общая",2.2,0)</f>
        <v>0</v>
      </c>
      <c r="S25" s="554">
        <f t="shared" si="1"/>
        <v>0</v>
      </c>
      <c r="T25" s="554">
        <f>IF(Титульный!$B$23="Общая",0,SUM(O25,S25)*0.18)</f>
        <v>0</v>
      </c>
      <c r="U25" s="554">
        <f t="shared" si="4"/>
        <v>0</v>
      </c>
    </row>
    <row r="26" spans="1:35">
      <c r="A26" s="24"/>
      <c r="B26" s="24"/>
      <c r="C26" s="24"/>
      <c r="D26" s="24"/>
      <c r="E26" s="142"/>
      <c r="F26" s="139"/>
      <c r="G26" s="24"/>
      <c r="H26" s="570">
        <f t="shared" si="2"/>
        <v>0</v>
      </c>
      <c r="I26" s="139"/>
      <c r="J26" s="570">
        <f t="shared" si="5"/>
        <v>0</v>
      </c>
      <c r="K26" s="570">
        <f t="shared" si="6"/>
        <v>0</v>
      </c>
      <c r="L26" s="142"/>
      <c r="M26" s="147"/>
      <c r="N26" s="554">
        <f t="shared" si="7"/>
        <v>0</v>
      </c>
      <c r="O26" s="554">
        <f t="shared" si="3"/>
        <v>0</v>
      </c>
      <c r="P26" s="554">
        <f t="shared" si="8"/>
        <v>0</v>
      </c>
      <c r="Q26" s="554">
        <f t="shared" si="9"/>
        <v>0</v>
      </c>
      <c r="R26" s="554">
        <f>IF(Титульный!$B$23="Общая",2.2,0)</f>
        <v>0</v>
      </c>
      <c r="S26" s="554">
        <f t="shared" si="1"/>
        <v>0</v>
      </c>
      <c r="T26" s="554">
        <f>IF(Титульный!$B$23="Общая",0,SUM(O26,S26)*0.18)</f>
        <v>0</v>
      </c>
      <c r="U26" s="554">
        <f t="shared" si="4"/>
        <v>0</v>
      </c>
    </row>
    <row r="27" spans="1:35">
      <c r="A27" s="24"/>
      <c r="B27" s="24"/>
      <c r="C27" s="24"/>
      <c r="D27" s="24"/>
      <c r="E27" s="142"/>
      <c r="F27" s="139"/>
      <c r="G27" s="24"/>
      <c r="H27" s="570">
        <f t="shared" si="2"/>
        <v>0</v>
      </c>
      <c r="I27" s="139"/>
      <c r="J27" s="570">
        <f t="shared" si="5"/>
        <v>0</v>
      </c>
      <c r="K27" s="570">
        <f t="shared" si="6"/>
        <v>0</v>
      </c>
      <c r="L27" s="142"/>
      <c r="M27" s="147"/>
      <c r="N27" s="554">
        <f t="shared" si="7"/>
        <v>0</v>
      </c>
      <c r="O27" s="554">
        <f t="shared" si="3"/>
        <v>0</v>
      </c>
      <c r="P27" s="554">
        <f t="shared" si="8"/>
        <v>0</v>
      </c>
      <c r="Q27" s="554">
        <f t="shared" si="9"/>
        <v>0</v>
      </c>
      <c r="R27" s="554">
        <f>IF(Титульный!$B$23="Общая",2.2,0)</f>
        <v>0</v>
      </c>
      <c r="S27" s="554">
        <f t="shared" si="1"/>
        <v>0</v>
      </c>
      <c r="T27" s="554">
        <f>IF(Титульный!$B$23="Общая",0,SUM(O27,S27)*0.18)</f>
        <v>0</v>
      </c>
      <c r="U27" s="554">
        <f t="shared" si="4"/>
        <v>0</v>
      </c>
    </row>
    <row r="28" spans="1:35">
      <c r="A28" s="24"/>
      <c r="B28" s="24"/>
      <c r="C28" s="24"/>
      <c r="D28" s="24"/>
      <c r="E28" s="142"/>
      <c r="F28" s="139"/>
      <c r="G28" s="24"/>
      <c r="H28" s="570">
        <f t="shared" si="2"/>
        <v>0</v>
      </c>
      <c r="I28" s="139"/>
      <c r="J28" s="570">
        <f t="shared" si="5"/>
        <v>0</v>
      </c>
      <c r="K28" s="570">
        <f t="shared" si="6"/>
        <v>0</v>
      </c>
      <c r="L28" s="142"/>
      <c r="M28" s="147"/>
      <c r="N28" s="554">
        <f t="shared" si="7"/>
        <v>0</v>
      </c>
      <c r="O28" s="554">
        <f t="shared" si="3"/>
        <v>0</v>
      </c>
      <c r="P28" s="554">
        <f t="shared" si="8"/>
        <v>0</v>
      </c>
      <c r="Q28" s="554">
        <f t="shared" si="9"/>
        <v>0</v>
      </c>
      <c r="R28" s="554">
        <f>IF(Титульный!$B$23="Общая",2.2,0)</f>
        <v>0</v>
      </c>
      <c r="S28" s="554">
        <f t="shared" si="1"/>
        <v>0</v>
      </c>
      <c r="T28" s="554">
        <f>IF(Титульный!$B$23="Общая",0,SUM(O28,S28)*0.18)</f>
        <v>0</v>
      </c>
      <c r="U28" s="554">
        <f t="shared" si="4"/>
        <v>0</v>
      </c>
    </row>
    <row r="29" spans="1:35">
      <c r="A29" s="24"/>
      <c r="B29" s="24"/>
      <c r="C29" s="24"/>
      <c r="D29" s="24"/>
      <c r="E29" s="142"/>
      <c r="F29" s="139"/>
      <c r="G29" s="24"/>
      <c r="H29" s="570">
        <f t="shared" si="2"/>
        <v>0</v>
      </c>
      <c r="I29" s="139"/>
      <c r="J29" s="570">
        <f t="shared" si="5"/>
        <v>0</v>
      </c>
      <c r="K29" s="570">
        <f t="shared" si="6"/>
        <v>0</v>
      </c>
      <c r="L29" s="142"/>
      <c r="M29" s="147"/>
      <c r="N29" s="554">
        <f t="shared" si="7"/>
        <v>0</v>
      </c>
      <c r="O29" s="554">
        <f t="shared" si="3"/>
        <v>0</v>
      </c>
      <c r="P29" s="554">
        <f t="shared" si="8"/>
        <v>0</v>
      </c>
      <c r="Q29" s="554">
        <f t="shared" si="9"/>
        <v>0</v>
      </c>
      <c r="R29" s="554">
        <f>IF(Титульный!$B$23="Общая",2.2,0)</f>
        <v>0</v>
      </c>
      <c r="S29" s="554">
        <f t="shared" si="1"/>
        <v>0</v>
      </c>
      <c r="T29" s="554">
        <f>IF(Титульный!$B$23="Общая",0,SUM(O29,S29)*0.18)</f>
        <v>0</v>
      </c>
      <c r="U29" s="554">
        <f t="shared" si="4"/>
        <v>0</v>
      </c>
    </row>
    <row r="30" spans="1:35">
      <c r="A30" s="571"/>
      <c r="B30" s="578"/>
      <c r="C30" s="571"/>
      <c r="D30" s="571"/>
      <c r="E30" s="571"/>
      <c r="F30" s="139"/>
      <c r="G30" s="24"/>
      <c r="H30" s="570">
        <f>IF(G30=0,0,E30/G30)</f>
        <v>0</v>
      </c>
      <c r="I30" s="139"/>
      <c r="J30" s="570">
        <f t="shared" ref="J30:J50" si="10">IF(DATEDIF(F30,I30,"m")*H30&lt;E30,(E30-DATEDIF(F30,I30,"m")*H30),0)</f>
        <v>0</v>
      </c>
      <c r="K30" s="570">
        <f t="shared" ref="K30:K33" si="11">IF(E30=0,0,(E30-J30)/E30*100)</f>
        <v>0</v>
      </c>
      <c r="L30" s="142"/>
      <c r="M30" s="147"/>
      <c r="N30" s="554">
        <f>IF(DATEDIF(F30,$N$9,"m")*H30&lt;E30,(E30-DATEDIF(F30,$N$9,"m")*H30),0)</f>
        <v>0</v>
      </c>
      <c r="O30" s="554">
        <f>IF(H30*12&lt;N30,H30*12,N30)</f>
        <v>0</v>
      </c>
      <c r="P30" s="554">
        <f>IF(H30*12&gt;N30,0,(N30-12*H30))</f>
        <v>0</v>
      </c>
      <c r="Q30" s="554">
        <f>IF(H30=0,0,IF(12*H30&lt;N30,(13*N30-78*H30)/13,(N30*N30/H30-H30*(N30/H30)*0.5*(N30/H30-1))/13))</f>
        <v>0</v>
      </c>
      <c r="R30" s="554">
        <f>IF(Титульный!$B$23="Общая",2.2,0)</f>
        <v>0</v>
      </c>
      <c r="S30" s="554">
        <f>Q30*R30/100</f>
        <v>0</v>
      </c>
      <c r="T30" s="554">
        <f>IF(Титульный!$B$23="Общая",0,SUM(O30,S30)*0.18)</f>
        <v>0</v>
      </c>
      <c r="U30" s="554">
        <f t="shared" si="4"/>
        <v>0</v>
      </c>
    </row>
    <row r="31" spans="1:35">
      <c r="A31" s="571"/>
      <c r="B31" s="578"/>
      <c r="C31" s="571"/>
      <c r="D31" s="571"/>
      <c r="E31" s="571"/>
      <c r="F31" s="139"/>
      <c r="G31" s="24"/>
      <c r="H31" s="570">
        <f t="shared" ref="H31:H50" si="12">IF(G31=0,0,E31/G31)</f>
        <v>0</v>
      </c>
      <c r="I31" s="139"/>
      <c r="J31" s="570">
        <f t="shared" si="10"/>
        <v>0</v>
      </c>
      <c r="K31" s="570">
        <f t="shared" si="11"/>
        <v>0</v>
      </c>
      <c r="L31" s="142"/>
      <c r="M31" s="147"/>
      <c r="N31" s="554">
        <f t="shared" ref="N31:N50" si="13">IF(DATEDIF(F31,$N$9,"m")*H31&lt;E31,(E31-DATEDIF(F31,$N$9,"m")*H31),0)</f>
        <v>0</v>
      </c>
      <c r="O31" s="554">
        <f t="shared" ref="O31:O50" si="14">IF(H31*12&lt;N31,H31*12,N31)</f>
        <v>0</v>
      </c>
      <c r="P31" s="554">
        <f t="shared" ref="P31:P50" si="15">IF(H31*12&gt;N31,0,(N31-12*H31))</f>
        <v>0</v>
      </c>
      <c r="Q31" s="554">
        <f t="shared" ref="Q31:Q50" si="16">IF(H31=0,0,IF(12*H31&lt;N31,(13*N31-78*H31)/13,(N31*N31/H31-H31*(N31/H31)*0.5*(N31/H31-1))/13))</f>
        <v>0</v>
      </c>
      <c r="R31" s="554">
        <f>IF(Титульный!$B$23="Общая",2.2,0)</f>
        <v>0</v>
      </c>
      <c r="S31" s="554">
        <f t="shared" ref="S31:S50" si="17">Q31*R31/100</f>
        <v>0</v>
      </c>
      <c r="T31" s="554">
        <f>IF(Титульный!$B$23="Общая",0,SUM(O31,S31)*0.18)</f>
        <v>0</v>
      </c>
      <c r="U31" s="554">
        <f t="shared" si="4"/>
        <v>0</v>
      </c>
    </row>
    <row r="32" spans="1:35">
      <c r="A32" s="571"/>
      <c r="B32" s="578"/>
      <c r="C32" s="571"/>
      <c r="D32" s="571"/>
      <c r="E32" s="571"/>
      <c r="F32" s="139"/>
      <c r="G32" s="24"/>
      <c r="H32" s="570">
        <f t="shared" ref="H32" si="18">IF(G32=0,0,E32/G32)</f>
        <v>0</v>
      </c>
      <c r="I32" s="139"/>
      <c r="J32" s="570">
        <f t="shared" ref="J32" si="19">IF(DATEDIF(F32,I32,"m")*H32&lt;E32,(E32-DATEDIF(F32,I32,"m")*H32),0)</f>
        <v>0</v>
      </c>
      <c r="K32" s="570">
        <f t="shared" si="11"/>
        <v>0</v>
      </c>
      <c r="L32" s="142"/>
      <c r="M32" s="147"/>
      <c r="N32" s="554">
        <f t="shared" ref="N32" si="20">IF(DATEDIF(F32,$N$9,"m")*H32&lt;E32,(E32-DATEDIF(F32,$N$9,"m")*H32),0)</f>
        <v>0</v>
      </c>
      <c r="O32" s="554">
        <f t="shared" ref="O32" si="21">IF(H32*12&lt;N32,H32*12,N32)</f>
        <v>0</v>
      </c>
      <c r="P32" s="554">
        <f t="shared" ref="P32" si="22">IF(H32*12&gt;N32,0,(N32-12*H32))</f>
        <v>0</v>
      </c>
      <c r="Q32" s="554">
        <f t="shared" ref="Q32" si="23">IF(H32=0,0,IF(12*H32&lt;N32,(13*N32-78*H32)/13,(N32*N32/H32-H32*(N32/H32)*0.5*(N32/H32-1))/13))</f>
        <v>0</v>
      </c>
      <c r="R32" s="554">
        <f>IF(Титульный!$B$23="Общая",2.2,0)</f>
        <v>0</v>
      </c>
      <c r="S32" s="554">
        <f t="shared" ref="S32" si="24">Q32*R32/100</f>
        <v>0</v>
      </c>
      <c r="T32" s="554">
        <f>IF(Титульный!$B$23="Общая",0,SUM(O32,S32)*0.18)</f>
        <v>0</v>
      </c>
      <c r="U32" s="554">
        <f t="shared" si="4"/>
        <v>0</v>
      </c>
    </row>
    <row r="33" spans="1:22">
      <c r="A33" s="571"/>
      <c r="B33" s="578"/>
      <c r="C33" s="571"/>
      <c r="D33" s="571"/>
      <c r="E33" s="571"/>
      <c r="F33" s="139"/>
      <c r="G33" s="24"/>
      <c r="H33" s="570">
        <f t="shared" si="12"/>
        <v>0</v>
      </c>
      <c r="I33" s="139"/>
      <c r="J33" s="570">
        <f t="shared" si="10"/>
        <v>0</v>
      </c>
      <c r="K33" s="570">
        <f t="shared" si="11"/>
        <v>0</v>
      </c>
      <c r="L33" s="142"/>
      <c r="M33" s="147"/>
      <c r="N33" s="554">
        <f t="shared" si="13"/>
        <v>0</v>
      </c>
      <c r="O33" s="554">
        <f t="shared" si="14"/>
        <v>0</v>
      </c>
      <c r="P33" s="554">
        <f t="shared" si="15"/>
        <v>0</v>
      </c>
      <c r="Q33" s="554">
        <f t="shared" si="16"/>
        <v>0</v>
      </c>
      <c r="R33" s="554">
        <f>IF(Титульный!$B$23="Общая",2.2,0)</f>
        <v>0</v>
      </c>
      <c r="S33" s="554">
        <f t="shared" si="17"/>
        <v>0</v>
      </c>
      <c r="T33" s="554">
        <f>IF(Титульный!$B$23="Общая",0,SUM(O33,S33)*0.18)</f>
        <v>0</v>
      </c>
      <c r="U33" s="554">
        <f t="shared" si="4"/>
        <v>0</v>
      </c>
      <c r="V33" s="592"/>
    </row>
    <row r="34" spans="1:22">
      <c r="A34" s="24"/>
      <c r="B34" s="24"/>
      <c r="C34" s="24"/>
      <c r="D34" s="24"/>
      <c r="E34" s="142"/>
      <c r="F34" s="139"/>
      <c r="G34" s="24"/>
      <c r="H34" s="570">
        <f t="shared" si="12"/>
        <v>0</v>
      </c>
      <c r="I34" s="139"/>
      <c r="J34" s="570">
        <f t="shared" si="10"/>
        <v>0</v>
      </c>
      <c r="K34" s="570">
        <f t="shared" ref="K34:K50" si="25">IF(E34=0,0,(E34-J34)/E34*100)</f>
        <v>0</v>
      </c>
      <c r="L34" s="142"/>
      <c r="M34" s="147"/>
      <c r="N34" s="554">
        <f t="shared" si="13"/>
        <v>0</v>
      </c>
      <c r="O34" s="554">
        <f t="shared" si="14"/>
        <v>0</v>
      </c>
      <c r="P34" s="554">
        <f t="shared" si="15"/>
        <v>0</v>
      </c>
      <c r="Q34" s="554">
        <f t="shared" si="16"/>
        <v>0</v>
      </c>
      <c r="R34" s="554">
        <f>IF(Титульный!$B$23="Общая",2.2,0)</f>
        <v>0</v>
      </c>
      <c r="S34" s="554">
        <f t="shared" si="17"/>
        <v>0</v>
      </c>
      <c r="T34" s="554">
        <f>IF(Титульный!$B$23="Общая",0,SUM(O34,S34)*0.18)</f>
        <v>0</v>
      </c>
      <c r="U34" s="554">
        <f t="shared" si="4"/>
        <v>0</v>
      </c>
      <c r="V34" s="91" t="s">
        <v>539</v>
      </c>
    </row>
    <row r="35" spans="1:22">
      <c r="A35" s="24"/>
      <c r="B35" s="24"/>
      <c r="C35" s="24"/>
      <c r="D35" s="24"/>
      <c r="E35" s="142"/>
      <c r="F35" s="139"/>
      <c r="G35" s="24"/>
      <c r="H35" s="570">
        <f t="shared" si="12"/>
        <v>0</v>
      </c>
      <c r="I35" s="139"/>
      <c r="J35" s="570">
        <f t="shared" si="10"/>
        <v>0</v>
      </c>
      <c r="K35" s="570">
        <f t="shared" si="25"/>
        <v>0</v>
      </c>
      <c r="L35" s="142"/>
      <c r="M35" s="147"/>
      <c r="N35" s="554">
        <f t="shared" si="13"/>
        <v>0</v>
      </c>
      <c r="O35" s="554">
        <f t="shared" si="14"/>
        <v>0</v>
      </c>
      <c r="P35" s="554">
        <f t="shared" si="15"/>
        <v>0</v>
      </c>
      <c r="Q35" s="554">
        <f t="shared" si="16"/>
        <v>0</v>
      </c>
      <c r="R35" s="554">
        <f>IF(Титульный!$B$23="Общая",2.2,0)</f>
        <v>0</v>
      </c>
      <c r="S35" s="554">
        <f t="shared" si="17"/>
        <v>0</v>
      </c>
      <c r="T35" s="554">
        <f>IF(Титульный!$B$23="Общая",0,SUM(O35,S35)*0.18)</f>
        <v>0</v>
      </c>
      <c r="U35" s="554">
        <f t="shared" si="4"/>
        <v>0</v>
      </c>
    </row>
    <row r="36" spans="1:22">
      <c r="A36" s="24"/>
      <c r="B36" s="24"/>
      <c r="C36" s="24"/>
      <c r="D36" s="24"/>
      <c r="E36" s="142"/>
      <c r="F36" s="139"/>
      <c r="G36" s="24"/>
      <c r="H36" s="570">
        <f t="shared" si="12"/>
        <v>0</v>
      </c>
      <c r="I36" s="139"/>
      <c r="J36" s="570">
        <f t="shared" si="10"/>
        <v>0</v>
      </c>
      <c r="K36" s="570">
        <f t="shared" si="25"/>
        <v>0</v>
      </c>
      <c r="L36" s="142"/>
      <c r="M36" s="147"/>
      <c r="N36" s="554">
        <f t="shared" si="13"/>
        <v>0</v>
      </c>
      <c r="O36" s="554">
        <f t="shared" si="14"/>
        <v>0</v>
      </c>
      <c r="P36" s="554">
        <f t="shared" si="15"/>
        <v>0</v>
      </c>
      <c r="Q36" s="554">
        <f t="shared" si="16"/>
        <v>0</v>
      </c>
      <c r="R36" s="554">
        <f>IF(Титульный!$B$23="Общая",2.2,0)</f>
        <v>0</v>
      </c>
      <c r="S36" s="554">
        <f t="shared" si="17"/>
        <v>0</v>
      </c>
      <c r="T36" s="554">
        <f>IF(Титульный!$B$23="Общая",0,SUM(O36,S36)*0.18)</f>
        <v>0</v>
      </c>
      <c r="U36" s="554">
        <f t="shared" si="4"/>
        <v>0</v>
      </c>
    </row>
    <row r="37" spans="1:22">
      <c r="A37" s="24"/>
      <c r="B37" s="24"/>
      <c r="C37" s="24"/>
      <c r="D37" s="24"/>
      <c r="E37" s="142"/>
      <c r="F37" s="139"/>
      <c r="G37" s="24"/>
      <c r="H37" s="570">
        <f t="shared" si="12"/>
        <v>0</v>
      </c>
      <c r="I37" s="139"/>
      <c r="J37" s="570">
        <f t="shared" si="10"/>
        <v>0</v>
      </c>
      <c r="K37" s="570">
        <f t="shared" si="25"/>
        <v>0</v>
      </c>
      <c r="L37" s="142"/>
      <c r="M37" s="147"/>
      <c r="N37" s="554">
        <f t="shared" si="13"/>
        <v>0</v>
      </c>
      <c r="O37" s="554">
        <f t="shared" si="14"/>
        <v>0</v>
      </c>
      <c r="P37" s="554">
        <f t="shared" si="15"/>
        <v>0</v>
      </c>
      <c r="Q37" s="554">
        <f t="shared" si="16"/>
        <v>0</v>
      </c>
      <c r="R37" s="554">
        <f>IF(Титульный!$B$23="Общая",2.2,0)</f>
        <v>0</v>
      </c>
      <c r="S37" s="554">
        <f t="shared" si="17"/>
        <v>0</v>
      </c>
      <c r="T37" s="554">
        <f>IF(Титульный!$B$23="Общая",0,SUM(O37,S37)*0.18)</f>
        <v>0</v>
      </c>
      <c r="U37" s="554">
        <f t="shared" si="4"/>
        <v>0</v>
      </c>
    </row>
    <row r="38" spans="1:22">
      <c r="A38" s="24"/>
      <c r="B38" s="24"/>
      <c r="C38" s="24"/>
      <c r="D38" s="24"/>
      <c r="E38" s="142"/>
      <c r="F38" s="139"/>
      <c r="G38" s="24"/>
      <c r="H38" s="570">
        <f t="shared" si="12"/>
        <v>0</v>
      </c>
      <c r="I38" s="139"/>
      <c r="J38" s="570">
        <f t="shared" si="10"/>
        <v>0</v>
      </c>
      <c r="K38" s="570">
        <f t="shared" si="25"/>
        <v>0</v>
      </c>
      <c r="L38" s="142"/>
      <c r="M38" s="147"/>
      <c r="N38" s="554">
        <f t="shared" si="13"/>
        <v>0</v>
      </c>
      <c r="O38" s="554">
        <f t="shared" si="14"/>
        <v>0</v>
      </c>
      <c r="P38" s="554">
        <f t="shared" si="15"/>
        <v>0</v>
      </c>
      <c r="Q38" s="554">
        <f t="shared" si="16"/>
        <v>0</v>
      </c>
      <c r="R38" s="554">
        <f>IF(Титульный!$B$23="Общая",2.2,0)</f>
        <v>0</v>
      </c>
      <c r="S38" s="554">
        <f t="shared" si="17"/>
        <v>0</v>
      </c>
      <c r="T38" s="554">
        <f>IF(Титульный!$B$23="Общая",0,SUM(O38,S38)*0.18)</f>
        <v>0</v>
      </c>
      <c r="U38" s="554">
        <f t="shared" si="4"/>
        <v>0</v>
      </c>
    </row>
    <row r="39" spans="1:22">
      <c r="A39" s="24"/>
      <c r="B39" s="24"/>
      <c r="C39" s="24"/>
      <c r="D39" s="24"/>
      <c r="E39" s="142"/>
      <c r="F39" s="139"/>
      <c r="G39" s="24"/>
      <c r="H39" s="570">
        <f t="shared" si="12"/>
        <v>0</v>
      </c>
      <c r="I39" s="139"/>
      <c r="J39" s="570">
        <f t="shared" si="10"/>
        <v>0</v>
      </c>
      <c r="K39" s="570">
        <f t="shared" si="25"/>
        <v>0</v>
      </c>
      <c r="L39" s="142"/>
      <c r="M39" s="147"/>
      <c r="N39" s="554">
        <f t="shared" si="13"/>
        <v>0</v>
      </c>
      <c r="O39" s="554">
        <f t="shared" si="14"/>
        <v>0</v>
      </c>
      <c r="P39" s="554">
        <f t="shared" si="15"/>
        <v>0</v>
      </c>
      <c r="Q39" s="554">
        <f t="shared" si="16"/>
        <v>0</v>
      </c>
      <c r="R39" s="554">
        <f>IF(Титульный!$B$23="Общая",2.2,0)</f>
        <v>0</v>
      </c>
      <c r="S39" s="554">
        <f t="shared" si="17"/>
        <v>0</v>
      </c>
      <c r="T39" s="554">
        <f>IF(Титульный!$B$23="Общая",0,SUM(O39,S39)*0.18)</f>
        <v>0</v>
      </c>
      <c r="U39" s="554">
        <f t="shared" si="4"/>
        <v>0</v>
      </c>
    </row>
    <row r="40" spans="1:22">
      <c r="A40" s="24"/>
      <c r="B40" s="24"/>
      <c r="C40" s="24"/>
      <c r="D40" s="24"/>
      <c r="E40" s="142"/>
      <c r="F40" s="139"/>
      <c r="G40" s="24"/>
      <c r="H40" s="570">
        <f t="shared" si="12"/>
        <v>0</v>
      </c>
      <c r="I40" s="139"/>
      <c r="J40" s="570">
        <f t="shared" si="10"/>
        <v>0</v>
      </c>
      <c r="K40" s="570">
        <f t="shared" si="25"/>
        <v>0</v>
      </c>
      <c r="L40" s="142"/>
      <c r="M40" s="147"/>
      <c r="N40" s="554">
        <f t="shared" si="13"/>
        <v>0</v>
      </c>
      <c r="O40" s="554">
        <f t="shared" si="14"/>
        <v>0</v>
      </c>
      <c r="P40" s="554">
        <f t="shared" si="15"/>
        <v>0</v>
      </c>
      <c r="Q40" s="554">
        <f t="shared" si="16"/>
        <v>0</v>
      </c>
      <c r="R40" s="554">
        <f>IF(Титульный!$B$23="Общая",2.2,0)</f>
        <v>0</v>
      </c>
      <c r="S40" s="554">
        <f t="shared" si="17"/>
        <v>0</v>
      </c>
      <c r="T40" s="554">
        <f>IF(Титульный!$B$23="Общая",0,SUM(O40,S40)*0.18)</f>
        <v>0</v>
      </c>
      <c r="U40" s="554">
        <f t="shared" si="4"/>
        <v>0</v>
      </c>
    </row>
    <row r="41" spans="1:22">
      <c r="A41" s="24"/>
      <c r="B41" s="24"/>
      <c r="C41" s="24"/>
      <c r="D41" s="24"/>
      <c r="E41" s="142"/>
      <c r="F41" s="139"/>
      <c r="G41" s="24"/>
      <c r="H41" s="570">
        <f t="shared" si="12"/>
        <v>0</v>
      </c>
      <c r="I41" s="139"/>
      <c r="J41" s="570">
        <f t="shared" si="10"/>
        <v>0</v>
      </c>
      <c r="K41" s="570">
        <f t="shared" si="25"/>
        <v>0</v>
      </c>
      <c r="L41" s="142"/>
      <c r="M41" s="147"/>
      <c r="N41" s="554">
        <f t="shared" si="13"/>
        <v>0</v>
      </c>
      <c r="O41" s="554">
        <f t="shared" si="14"/>
        <v>0</v>
      </c>
      <c r="P41" s="554">
        <f t="shared" si="15"/>
        <v>0</v>
      </c>
      <c r="Q41" s="554">
        <f t="shared" si="16"/>
        <v>0</v>
      </c>
      <c r="R41" s="554">
        <f>IF(Титульный!$B$23="Общая",2.2,0)</f>
        <v>0</v>
      </c>
      <c r="S41" s="554">
        <f t="shared" si="17"/>
        <v>0</v>
      </c>
      <c r="T41" s="554">
        <f>IF(Титульный!$B$23="Общая",0,SUM(O41,S41)*0.18)</f>
        <v>0</v>
      </c>
      <c r="U41" s="554">
        <f t="shared" si="4"/>
        <v>0</v>
      </c>
    </row>
    <row r="42" spans="1:22">
      <c r="A42" s="24"/>
      <c r="B42" s="24"/>
      <c r="C42" s="24"/>
      <c r="D42" s="24"/>
      <c r="E42" s="142"/>
      <c r="F42" s="139"/>
      <c r="G42" s="24"/>
      <c r="H42" s="570">
        <f t="shared" si="12"/>
        <v>0</v>
      </c>
      <c r="I42" s="139"/>
      <c r="J42" s="570">
        <f t="shared" si="10"/>
        <v>0</v>
      </c>
      <c r="K42" s="570">
        <f t="shared" si="25"/>
        <v>0</v>
      </c>
      <c r="L42" s="142"/>
      <c r="M42" s="147"/>
      <c r="N42" s="554">
        <f t="shared" si="13"/>
        <v>0</v>
      </c>
      <c r="O42" s="554">
        <f t="shared" si="14"/>
        <v>0</v>
      </c>
      <c r="P42" s="554">
        <f t="shared" si="15"/>
        <v>0</v>
      </c>
      <c r="Q42" s="554">
        <f t="shared" si="16"/>
        <v>0</v>
      </c>
      <c r="R42" s="554">
        <f>IF(Титульный!$B$23="Общая",2.2,0)</f>
        <v>0</v>
      </c>
      <c r="S42" s="554">
        <f t="shared" si="17"/>
        <v>0</v>
      </c>
      <c r="T42" s="554">
        <f>IF(Титульный!$B$23="Общая",0,SUM(O42,S42)*0.18)</f>
        <v>0</v>
      </c>
      <c r="U42" s="554">
        <f t="shared" si="4"/>
        <v>0</v>
      </c>
    </row>
    <row r="43" spans="1:22">
      <c r="A43" s="24"/>
      <c r="B43" s="24"/>
      <c r="C43" s="24"/>
      <c r="D43" s="24"/>
      <c r="E43" s="142"/>
      <c r="F43" s="139"/>
      <c r="G43" s="24"/>
      <c r="H43" s="570">
        <f t="shared" si="12"/>
        <v>0</v>
      </c>
      <c r="I43" s="139"/>
      <c r="J43" s="570">
        <f t="shared" si="10"/>
        <v>0</v>
      </c>
      <c r="K43" s="570">
        <f t="shared" si="25"/>
        <v>0</v>
      </c>
      <c r="L43" s="142"/>
      <c r="M43" s="147"/>
      <c r="N43" s="554">
        <f t="shared" si="13"/>
        <v>0</v>
      </c>
      <c r="O43" s="554">
        <f t="shared" si="14"/>
        <v>0</v>
      </c>
      <c r="P43" s="554">
        <f t="shared" si="15"/>
        <v>0</v>
      </c>
      <c r="Q43" s="554">
        <f t="shared" si="16"/>
        <v>0</v>
      </c>
      <c r="R43" s="554">
        <f>IF(Титульный!$B$23="Общая",2.2,0)</f>
        <v>0</v>
      </c>
      <c r="S43" s="554">
        <f t="shared" si="17"/>
        <v>0</v>
      </c>
      <c r="T43" s="554">
        <f>IF(Титульный!$B$23="Общая",0,SUM(O43,S43)*0.18)</f>
        <v>0</v>
      </c>
      <c r="U43" s="554">
        <f t="shared" si="4"/>
        <v>0</v>
      </c>
    </row>
    <row r="44" spans="1:22">
      <c r="A44" s="24"/>
      <c r="B44" s="24"/>
      <c r="C44" s="24"/>
      <c r="D44" s="24"/>
      <c r="E44" s="142"/>
      <c r="F44" s="139"/>
      <c r="G44" s="24"/>
      <c r="H44" s="570">
        <f t="shared" si="12"/>
        <v>0</v>
      </c>
      <c r="I44" s="139"/>
      <c r="J44" s="570">
        <f t="shared" si="10"/>
        <v>0</v>
      </c>
      <c r="K44" s="570">
        <f t="shared" si="25"/>
        <v>0</v>
      </c>
      <c r="L44" s="142"/>
      <c r="M44" s="147"/>
      <c r="N44" s="554">
        <f t="shared" si="13"/>
        <v>0</v>
      </c>
      <c r="O44" s="554">
        <f t="shared" si="14"/>
        <v>0</v>
      </c>
      <c r="P44" s="554">
        <f t="shared" si="15"/>
        <v>0</v>
      </c>
      <c r="Q44" s="554">
        <f t="shared" si="16"/>
        <v>0</v>
      </c>
      <c r="R44" s="554">
        <f>IF(Титульный!$B$23="Общая",2.2,0)</f>
        <v>0</v>
      </c>
      <c r="S44" s="554">
        <f t="shared" si="17"/>
        <v>0</v>
      </c>
      <c r="T44" s="554">
        <f>IF(Титульный!$B$23="Общая",0,SUM(O44,S44)*0.18)</f>
        <v>0</v>
      </c>
      <c r="U44" s="554">
        <f t="shared" si="4"/>
        <v>0</v>
      </c>
    </row>
    <row r="45" spans="1:22">
      <c r="A45" s="24"/>
      <c r="B45" s="24"/>
      <c r="C45" s="24"/>
      <c r="D45" s="24"/>
      <c r="E45" s="142"/>
      <c r="F45" s="139"/>
      <c r="G45" s="24"/>
      <c r="H45" s="570">
        <f t="shared" si="12"/>
        <v>0</v>
      </c>
      <c r="I45" s="139"/>
      <c r="J45" s="570">
        <f t="shared" si="10"/>
        <v>0</v>
      </c>
      <c r="K45" s="570">
        <f t="shared" si="25"/>
        <v>0</v>
      </c>
      <c r="L45" s="142"/>
      <c r="M45" s="147"/>
      <c r="N45" s="554">
        <f t="shared" si="13"/>
        <v>0</v>
      </c>
      <c r="O45" s="554">
        <f t="shared" si="14"/>
        <v>0</v>
      </c>
      <c r="P45" s="554">
        <f t="shared" si="15"/>
        <v>0</v>
      </c>
      <c r="Q45" s="554">
        <f t="shared" si="16"/>
        <v>0</v>
      </c>
      <c r="R45" s="554">
        <f>IF(Титульный!$B$23="Общая",2.2,0)</f>
        <v>0</v>
      </c>
      <c r="S45" s="554">
        <f t="shared" si="17"/>
        <v>0</v>
      </c>
      <c r="T45" s="554">
        <f>IF(Титульный!$B$23="Общая",0,SUM(O45,S45)*0.18)</f>
        <v>0</v>
      </c>
      <c r="U45" s="554">
        <f t="shared" si="4"/>
        <v>0</v>
      </c>
    </row>
    <row r="46" spans="1:22">
      <c r="A46" s="24"/>
      <c r="B46" s="24"/>
      <c r="C46" s="24"/>
      <c r="D46" s="24"/>
      <c r="E46" s="142"/>
      <c r="F46" s="139"/>
      <c r="G46" s="24"/>
      <c r="H46" s="570">
        <f t="shared" si="12"/>
        <v>0</v>
      </c>
      <c r="I46" s="139"/>
      <c r="J46" s="570">
        <f t="shared" si="10"/>
        <v>0</v>
      </c>
      <c r="K46" s="570">
        <f t="shared" si="25"/>
        <v>0</v>
      </c>
      <c r="L46" s="142"/>
      <c r="M46" s="147"/>
      <c r="N46" s="554">
        <f t="shared" si="13"/>
        <v>0</v>
      </c>
      <c r="O46" s="554">
        <f t="shared" si="14"/>
        <v>0</v>
      </c>
      <c r="P46" s="554">
        <f t="shared" si="15"/>
        <v>0</v>
      </c>
      <c r="Q46" s="554">
        <f t="shared" si="16"/>
        <v>0</v>
      </c>
      <c r="R46" s="554">
        <f>IF(Титульный!$B$23="Общая",2.2,0)</f>
        <v>0</v>
      </c>
      <c r="S46" s="554">
        <f t="shared" si="17"/>
        <v>0</v>
      </c>
      <c r="T46" s="554">
        <f>IF(Титульный!$B$23="Общая",0,SUM(O46,S46)*0.18)</f>
        <v>0</v>
      </c>
      <c r="U46" s="554">
        <f t="shared" si="4"/>
        <v>0</v>
      </c>
    </row>
    <row r="47" spans="1:22">
      <c r="A47" s="24"/>
      <c r="B47" s="24"/>
      <c r="C47" s="24"/>
      <c r="D47" s="24"/>
      <c r="E47" s="142"/>
      <c r="F47" s="139"/>
      <c r="G47" s="24"/>
      <c r="H47" s="570">
        <f t="shared" si="12"/>
        <v>0</v>
      </c>
      <c r="I47" s="139"/>
      <c r="J47" s="570">
        <f t="shared" si="10"/>
        <v>0</v>
      </c>
      <c r="K47" s="570">
        <f t="shared" si="25"/>
        <v>0</v>
      </c>
      <c r="L47" s="142"/>
      <c r="M47" s="147"/>
      <c r="N47" s="554">
        <f t="shared" si="13"/>
        <v>0</v>
      </c>
      <c r="O47" s="554">
        <f t="shared" si="14"/>
        <v>0</v>
      </c>
      <c r="P47" s="554">
        <f t="shared" si="15"/>
        <v>0</v>
      </c>
      <c r="Q47" s="554">
        <f t="shared" si="16"/>
        <v>0</v>
      </c>
      <c r="R47" s="554">
        <f>IF(Титульный!$B$23="Общая",2.2,0)</f>
        <v>0</v>
      </c>
      <c r="S47" s="554">
        <f t="shared" si="17"/>
        <v>0</v>
      </c>
      <c r="T47" s="554">
        <f>IF(Титульный!$B$23="Общая",0,SUM(O47,S47)*0.18)</f>
        <v>0</v>
      </c>
      <c r="U47" s="554">
        <f t="shared" si="4"/>
        <v>0</v>
      </c>
    </row>
    <row r="48" spans="1:22">
      <c r="A48" s="24"/>
      <c r="B48" s="24"/>
      <c r="C48" s="24"/>
      <c r="D48" s="24"/>
      <c r="E48" s="142"/>
      <c r="F48" s="139"/>
      <c r="G48" s="24"/>
      <c r="H48" s="570">
        <f t="shared" si="12"/>
        <v>0</v>
      </c>
      <c r="I48" s="139"/>
      <c r="J48" s="570">
        <f t="shared" si="10"/>
        <v>0</v>
      </c>
      <c r="K48" s="570">
        <f t="shared" si="25"/>
        <v>0</v>
      </c>
      <c r="L48" s="142"/>
      <c r="M48" s="147"/>
      <c r="N48" s="554">
        <f t="shared" si="13"/>
        <v>0</v>
      </c>
      <c r="O48" s="554">
        <f t="shared" si="14"/>
        <v>0</v>
      </c>
      <c r="P48" s="554">
        <f t="shared" si="15"/>
        <v>0</v>
      </c>
      <c r="Q48" s="554">
        <f t="shared" si="16"/>
        <v>0</v>
      </c>
      <c r="R48" s="554">
        <f>IF(Титульный!$B$23="Общая",2.2,0)</f>
        <v>0</v>
      </c>
      <c r="S48" s="554">
        <f t="shared" si="17"/>
        <v>0</v>
      </c>
      <c r="T48" s="554">
        <f>IF(Титульный!$B$23="Общая",0,SUM(O48,S48)*0.18)</f>
        <v>0</v>
      </c>
      <c r="U48" s="554">
        <f t="shared" si="4"/>
        <v>0</v>
      </c>
    </row>
    <row r="49" spans="1:22">
      <c r="A49" s="24"/>
      <c r="B49" s="24"/>
      <c r="C49" s="24"/>
      <c r="D49" s="24"/>
      <c r="E49" s="142"/>
      <c r="F49" s="139"/>
      <c r="G49" s="24"/>
      <c r="H49" s="570">
        <f t="shared" si="12"/>
        <v>0</v>
      </c>
      <c r="I49" s="139"/>
      <c r="J49" s="570">
        <f t="shared" si="10"/>
        <v>0</v>
      </c>
      <c r="K49" s="570">
        <f t="shared" si="25"/>
        <v>0</v>
      </c>
      <c r="L49" s="142"/>
      <c r="M49" s="147"/>
      <c r="N49" s="554">
        <f t="shared" si="13"/>
        <v>0</v>
      </c>
      <c r="O49" s="554">
        <f t="shared" si="14"/>
        <v>0</v>
      </c>
      <c r="P49" s="554">
        <f t="shared" si="15"/>
        <v>0</v>
      </c>
      <c r="Q49" s="554">
        <f t="shared" si="16"/>
        <v>0</v>
      </c>
      <c r="R49" s="554">
        <f>IF(Титульный!$B$23="Общая",2.2,0)</f>
        <v>0</v>
      </c>
      <c r="S49" s="554">
        <f t="shared" si="17"/>
        <v>0</v>
      </c>
      <c r="T49" s="554">
        <f>IF(Титульный!$B$23="Общая",0,SUM(O49,S49)*0.18)</f>
        <v>0</v>
      </c>
      <c r="U49" s="554">
        <f t="shared" si="4"/>
        <v>0</v>
      </c>
    </row>
    <row r="50" spans="1:22">
      <c r="A50" s="24"/>
      <c r="B50" s="24"/>
      <c r="C50" s="24"/>
      <c r="D50" s="24"/>
      <c r="E50" s="142"/>
      <c r="F50" s="139"/>
      <c r="G50" s="24"/>
      <c r="H50" s="570">
        <f t="shared" si="12"/>
        <v>0</v>
      </c>
      <c r="I50" s="139"/>
      <c r="J50" s="570">
        <f t="shared" si="10"/>
        <v>0</v>
      </c>
      <c r="K50" s="570">
        <f t="shared" si="25"/>
        <v>0</v>
      </c>
      <c r="L50" s="142"/>
      <c r="M50" s="147"/>
      <c r="N50" s="554">
        <f t="shared" si="13"/>
        <v>0</v>
      </c>
      <c r="O50" s="554">
        <f t="shared" si="14"/>
        <v>0</v>
      </c>
      <c r="P50" s="554">
        <f t="shared" si="15"/>
        <v>0</v>
      </c>
      <c r="Q50" s="554">
        <f t="shared" si="16"/>
        <v>0</v>
      </c>
      <c r="R50" s="554">
        <f>IF(Титульный!$B$23="Общая",2.2,0)</f>
        <v>0</v>
      </c>
      <c r="S50" s="554">
        <f t="shared" si="17"/>
        <v>0</v>
      </c>
      <c r="T50" s="554">
        <f>IF(Титульный!$B$23="Общая",0,SUM(O50,S50)*0.18)</f>
        <v>0</v>
      </c>
      <c r="U50" s="554">
        <f t="shared" si="4"/>
        <v>0</v>
      </c>
    </row>
    <row r="51" spans="1:22">
      <c r="A51" s="24"/>
      <c r="B51" s="578"/>
      <c r="C51" s="571"/>
      <c r="D51" s="571"/>
      <c r="E51" s="571"/>
      <c r="F51" s="139"/>
      <c r="G51" s="24"/>
      <c r="H51" s="570">
        <f t="shared" ref="H51:H70" si="26">IF(G51=0,0,E51/G51)</f>
        <v>0</v>
      </c>
      <c r="I51" s="139"/>
      <c r="J51" s="570">
        <f t="shared" ref="J51:J70" si="27">IF(DATEDIF(F51,I51,"m")*H51&lt;E51,(E51-DATEDIF(F51,I51,"m")*H51),0)</f>
        <v>0</v>
      </c>
      <c r="K51" s="570">
        <f t="shared" ref="K51:K56" si="28">IF(E51=0,0,(E51-J51)/E51*100)</f>
        <v>0</v>
      </c>
      <c r="L51" s="142"/>
      <c r="M51" s="147"/>
      <c r="N51" s="554">
        <f>IF(DATEDIF(F51,$N$9,"m")*H51&lt;E51,(E51-DATEDIF(F51,$N$9,"m")*H51),0)</f>
        <v>0</v>
      </c>
      <c r="O51" s="554">
        <f>IF(H51*12&lt;N51,H51*12,N51)</f>
        <v>0</v>
      </c>
      <c r="P51" s="554">
        <f>IF(H51*12&gt;N51,0,(N51-12*H51))</f>
        <v>0</v>
      </c>
      <c r="Q51" s="554">
        <f>IF(H51=0,0,IF(12*H51&lt;N51,(13*N51-78*H51)/13,(N51*N51/H51-H51*(N51/H51)*0.5*(N51/H51-1))/13))</f>
        <v>0</v>
      </c>
      <c r="R51" s="554">
        <f>IF(Титульный!$B$23="Общая",2.2,0)</f>
        <v>0</v>
      </c>
      <c r="S51" s="554">
        <f>Q51*R51/100</f>
        <v>0</v>
      </c>
      <c r="T51" s="554">
        <f>IF(Титульный!$B$23="Общая",0,SUM(O51,S51)*0.18)</f>
        <v>0</v>
      </c>
      <c r="U51" s="554">
        <f t="shared" si="4"/>
        <v>0</v>
      </c>
    </row>
    <row r="52" spans="1:22">
      <c r="A52" s="24"/>
      <c r="B52" s="578"/>
      <c r="C52" s="571"/>
      <c r="D52" s="571"/>
      <c r="E52" s="571"/>
      <c r="F52" s="139"/>
      <c r="G52" s="24"/>
      <c r="H52" s="570">
        <f t="shared" si="26"/>
        <v>0</v>
      </c>
      <c r="I52" s="139"/>
      <c r="J52" s="570">
        <f t="shared" si="27"/>
        <v>0</v>
      </c>
      <c r="K52" s="570">
        <f t="shared" si="28"/>
        <v>0</v>
      </c>
      <c r="L52" s="142"/>
      <c r="M52" s="147"/>
      <c r="N52" s="554">
        <f t="shared" ref="N52:N70" si="29">IF(DATEDIF(F52,$N$9,"m")*H52&lt;E52,(E52-DATEDIF(F52,$N$9,"m")*H52),0)</f>
        <v>0</v>
      </c>
      <c r="O52" s="554">
        <f t="shared" ref="O52:O69" si="30">IF(H52*12&lt;N52,H52*12,N52)</f>
        <v>0</v>
      </c>
      <c r="P52" s="554">
        <f t="shared" ref="P52:P70" si="31">IF(H52*12&gt;N52,0,(N52-12*H52))</f>
        <v>0</v>
      </c>
      <c r="Q52" s="554">
        <f t="shared" ref="Q52:Q70" si="32">IF(H52=0,0,IF(12*H52&lt;N52,(13*N52-78*H52)/13,(N52*N52/H52-H52*(N52/H52)*0.5*(N52/H52-1))/13))</f>
        <v>0</v>
      </c>
      <c r="R52" s="554">
        <f>IF(Титульный!$B$23="Общая",2.2,0)</f>
        <v>0</v>
      </c>
      <c r="S52" s="554">
        <f t="shared" ref="S52:S70" si="33">Q52*R52/100</f>
        <v>0</v>
      </c>
      <c r="T52" s="554">
        <f>IF(Титульный!$B$23="Общая",0,SUM(O52,S52)*0.18)</f>
        <v>0</v>
      </c>
      <c r="U52" s="554">
        <f t="shared" si="4"/>
        <v>0</v>
      </c>
    </row>
    <row r="53" spans="1:22">
      <c r="A53" s="24"/>
      <c r="B53" s="578"/>
      <c r="C53" s="571"/>
      <c r="D53" s="571"/>
      <c r="E53" s="571"/>
      <c r="F53" s="139"/>
      <c r="G53" s="24"/>
      <c r="H53" s="570">
        <f t="shared" si="26"/>
        <v>0</v>
      </c>
      <c r="I53" s="139"/>
      <c r="J53" s="570">
        <f t="shared" si="27"/>
        <v>0</v>
      </c>
      <c r="K53" s="570">
        <f t="shared" si="28"/>
        <v>0</v>
      </c>
      <c r="L53" s="142"/>
      <c r="M53" s="147"/>
      <c r="N53" s="554">
        <f t="shared" si="29"/>
        <v>0</v>
      </c>
      <c r="O53" s="554">
        <f t="shared" si="30"/>
        <v>0</v>
      </c>
      <c r="P53" s="554">
        <f t="shared" si="31"/>
        <v>0</v>
      </c>
      <c r="Q53" s="554">
        <f t="shared" si="32"/>
        <v>0</v>
      </c>
      <c r="R53" s="554">
        <f>IF(Титульный!$B$23="Общая",2.2,0)</f>
        <v>0</v>
      </c>
      <c r="S53" s="554">
        <f t="shared" si="33"/>
        <v>0</v>
      </c>
      <c r="T53" s="554">
        <f>IF(Титульный!$B$23="Общая",0,SUM(O53,S53)*0.18)</f>
        <v>0</v>
      </c>
      <c r="U53" s="554">
        <f t="shared" si="4"/>
        <v>0</v>
      </c>
      <c r="V53" s="91" t="s">
        <v>539</v>
      </c>
    </row>
    <row r="54" spans="1:22">
      <c r="A54" s="24"/>
      <c r="B54" s="578"/>
      <c r="C54" s="571"/>
      <c r="D54" s="571"/>
      <c r="E54" s="571"/>
      <c r="F54" s="139"/>
      <c r="G54" s="24"/>
      <c r="H54" s="570">
        <f t="shared" si="26"/>
        <v>0</v>
      </c>
      <c r="I54" s="139"/>
      <c r="J54" s="570">
        <f t="shared" si="27"/>
        <v>0</v>
      </c>
      <c r="K54" s="570">
        <f t="shared" si="28"/>
        <v>0</v>
      </c>
      <c r="L54" s="142"/>
      <c r="M54" s="147"/>
      <c r="N54" s="554">
        <f t="shared" si="29"/>
        <v>0</v>
      </c>
      <c r="O54" s="554">
        <f t="shared" si="30"/>
        <v>0</v>
      </c>
      <c r="P54" s="554">
        <f t="shared" si="31"/>
        <v>0</v>
      </c>
      <c r="Q54" s="554">
        <f t="shared" si="32"/>
        <v>0</v>
      </c>
      <c r="R54" s="554">
        <f>IF(Титульный!$B$23="Общая",2.2,0)</f>
        <v>0</v>
      </c>
      <c r="S54" s="554">
        <f t="shared" si="33"/>
        <v>0</v>
      </c>
      <c r="T54" s="554">
        <f>IF(Титульный!$B$23="Общая",0,SUM(O54,S54)*0.18)</f>
        <v>0</v>
      </c>
      <c r="U54" s="554">
        <f t="shared" si="4"/>
        <v>0</v>
      </c>
    </row>
    <row r="55" spans="1:22">
      <c r="A55" s="24"/>
      <c r="B55" s="578"/>
      <c r="C55" s="571"/>
      <c r="D55" s="571"/>
      <c r="E55" s="142"/>
      <c r="F55" s="139"/>
      <c r="G55" s="24"/>
      <c r="H55" s="570">
        <f t="shared" si="26"/>
        <v>0</v>
      </c>
      <c r="I55" s="139"/>
      <c r="J55" s="570">
        <f t="shared" si="27"/>
        <v>0</v>
      </c>
      <c r="K55" s="570">
        <f t="shared" si="28"/>
        <v>0</v>
      </c>
      <c r="L55" s="142"/>
      <c r="M55" s="147"/>
      <c r="N55" s="554">
        <f t="shared" si="29"/>
        <v>0</v>
      </c>
      <c r="O55" s="554">
        <f t="shared" si="30"/>
        <v>0</v>
      </c>
      <c r="P55" s="554">
        <f t="shared" si="31"/>
        <v>0</v>
      </c>
      <c r="Q55" s="554">
        <f t="shared" si="32"/>
        <v>0</v>
      </c>
      <c r="R55" s="554">
        <f>IF(Титульный!$B$23="Общая",2.2,0)</f>
        <v>0</v>
      </c>
      <c r="S55" s="554">
        <f t="shared" si="33"/>
        <v>0</v>
      </c>
      <c r="T55" s="554">
        <f>IF(Титульный!$B$23="Общая",0,SUM(O55,S55)*0.18)</f>
        <v>0</v>
      </c>
      <c r="U55" s="554">
        <f t="shared" si="4"/>
        <v>0</v>
      </c>
    </row>
    <row r="56" spans="1:22">
      <c r="A56" s="24"/>
      <c r="B56" s="24"/>
      <c r="C56" s="24"/>
      <c r="D56" s="24"/>
      <c r="E56" s="142"/>
      <c r="F56" s="139"/>
      <c r="G56" s="24"/>
      <c r="H56" s="570">
        <f t="shared" si="26"/>
        <v>0</v>
      </c>
      <c r="I56" s="139"/>
      <c r="J56" s="570">
        <f t="shared" si="27"/>
        <v>0</v>
      </c>
      <c r="K56" s="570">
        <f t="shared" si="28"/>
        <v>0</v>
      </c>
      <c r="L56" s="142"/>
      <c r="M56" s="147"/>
      <c r="N56" s="554">
        <f t="shared" si="29"/>
        <v>0</v>
      </c>
      <c r="O56" s="554">
        <f t="shared" si="30"/>
        <v>0</v>
      </c>
      <c r="P56" s="554">
        <f t="shared" si="31"/>
        <v>0</v>
      </c>
      <c r="Q56" s="554">
        <f t="shared" si="32"/>
        <v>0</v>
      </c>
      <c r="R56" s="554">
        <f>IF(Титульный!$B$23="Общая",2.2,0)</f>
        <v>0</v>
      </c>
      <c r="S56" s="554">
        <f t="shared" si="33"/>
        <v>0</v>
      </c>
      <c r="T56" s="554">
        <f>IF(Титульный!$B$23="Общая",0,SUM(O56,S56)*0.18)</f>
        <v>0</v>
      </c>
      <c r="U56" s="554">
        <f t="shared" si="4"/>
        <v>0</v>
      </c>
    </row>
    <row r="57" spans="1:22">
      <c r="A57" s="24"/>
      <c r="B57" s="24"/>
      <c r="C57" s="24"/>
      <c r="D57" s="24"/>
      <c r="E57" s="142"/>
      <c r="F57" s="139"/>
      <c r="G57" s="24"/>
      <c r="H57" s="570">
        <f t="shared" si="26"/>
        <v>0</v>
      </c>
      <c r="I57" s="139"/>
      <c r="J57" s="570">
        <f t="shared" si="27"/>
        <v>0</v>
      </c>
      <c r="K57" s="570">
        <f t="shared" ref="K57:K71" si="34">IF(E57=0,0,(E57-J57)/E57*100)</f>
        <v>0</v>
      </c>
      <c r="L57" s="142"/>
      <c r="M57" s="147"/>
      <c r="N57" s="554">
        <f t="shared" si="29"/>
        <v>0</v>
      </c>
      <c r="O57" s="554">
        <f t="shared" si="30"/>
        <v>0</v>
      </c>
      <c r="P57" s="554">
        <f t="shared" si="31"/>
        <v>0</v>
      </c>
      <c r="Q57" s="554">
        <f t="shared" si="32"/>
        <v>0</v>
      </c>
      <c r="R57" s="554">
        <f>IF(Титульный!$B$23="Общая",2.2,0)</f>
        <v>0</v>
      </c>
      <c r="S57" s="554">
        <f t="shared" si="33"/>
        <v>0</v>
      </c>
      <c r="T57" s="554">
        <f>IF(Титульный!$B$23="Общая",0,SUM(O57,S57)*0.18)</f>
        <v>0</v>
      </c>
      <c r="U57" s="554">
        <f t="shared" si="4"/>
        <v>0</v>
      </c>
    </row>
    <row r="58" spans="1:22">
      <c r="A58" s="24"/>
      <c r="B58" s="24"/>
      <c r="C58" s="24"/>
      <c r="D58" s="24"/>
      <c r="E58" s="142"/>
      <c r="F58" s="139"/>
      <c r="G58" s="24"/>
      <c r="H58" s="570">
        <f t="shared" si="26"/>
        <v>0</v>
      </c>
      <c r="I58" s="139"/>
      <c r="J58" s="570">
        <f t="shared" si="27"/>
        <v>0</v>
      </c>
      <c r="K58" s="570">
        <f t="shared" si="34"/>
        <v>0</v>
      </c>
      <c r="L58" s="142"/>
      <c r="M58" s="147"/>
      <c r="N58" s="554">
        <f t="shared" si="29"/>
        <v>0</v>
      </c>
      <c r="O58" s="554">
        <f t="shared" si="30"/>
        <v>0</v>
      </c>
      <c r="P58" s="554">
        <f t="shared" si="31"/>
        <v>0</v>
      </c>
      <c r="Q58" s="554">
        <f t="shared" si="32"/>
        <v>0</v>
      </c>
      <c r="R58" s="554">
        <f>IF(Титульный!$B$23="Общая",2.2,0)</f>
        <v>0</v>
      </c>
      <c r="S58" s="554">
        <f t="shared" si="33"/>
        <v>0</v>
      </c>
      <c r="T58" s="554">
        <f>IF(Титульный!$B$23="Общая",0,SUM(O58,S58)*0.18)</f>
        <v>0</v>
      </c>
      <c r="U58" s="554">
        <f t="shared" si="4"/>
        <v>0</v>
      </c>
    </row>
    <row r="59" spans="1:22">
      <c r="A59" s="24"/>
      <c r="B59" s="24"/>
      <c r="C59" s="24"/>
      <c r="D59" s="24"/>
      <c r="E59" s="142"/>
      <c r="F59" s="139"/>
      <c r="G59" s="24"/>
      <c r="H59" s="570">
        <f t="shared" si="26"/>
        <v>0</v>
      </c>
      <c r="I59" s="139"/>
      <c r="J59" s="570">
        <f t="shared" si="27"/>
        <v>0</v>
      </c>
      <c r="K59" s="570">
        <f t="shared" si="34"/>
        <v>0</v>
      </c>
      <c r="L59" s="142"/>
      <c r="M59" s="147"/>
      <c r="N59" s="554">
        <f t="shared" si="29"/>
        <v>0</v>
      </c>
      <c r="O59" s="554">
        <f t="shared" si="30"/>
        <v>0</v>
      </c>
      <c r="P59" s="554">
        <f t="shared" si="31"/>
        <v>0</v>
      </c>
      <c r="Q59" s="554">
        <f t="shared" si="32"/>
        <v>0</v>
      </c>
      <c r="R59" s="554">
        <f>IF(Титульный!$B$23="Общая",2.2,0)</f>
        <v>0</v>
      </c>
      <c r="S59" s="554">
        <f t="shared" si="33"/>
        <v>0</v>
      </c>
      <c r="T59" s="554">
        <f>IF(Титульный!$B$23="Общая",0,SUM(O59,S59)*0.18)</f>
        <v>0</v>
      </c>
      <c r="U59" s="554">
        <f t="shared" si="4"/>
        <v>0</v>
      </c>
    </row>
    <row r="60" spans="1:22">
      <c r="A60" s="24"/>
      <c r="B60" s="24"/>
      <c r="C60" s="24"/>
      <c r="D60" s="24"/>
      <c r="E60" s="142"/>
      <c r="F60" s="139"/>
      <c r="G60" s="24"/>
      <c r="H60" s="570">
        <f t="shared" si="26"/>
        <v>0</v>
      </c>
      <c r="I60" s="139"/>
      <c r="J60" s="570">
        <f t="shared" si="27"/>
        <v>0</v>
      </c>
      <c r="K60" s="570">
        <f t="shared" si="34"/>
        <v>0</v>
      </c>
      <c r="L60" s="142"/>
      <c r="M60" s="147"/>
      <c r="N60" s="554">
        <f t="shared" si="29"/>
        <v>0</v>
      </c>
      <c r="O60" s="554">
        <f t="shared" si="30"/>
        <v>0</v>
      </c>
      <c r="P60" s="554">
        <f t="shared" si="31"/>
        <v>0</v>
      </c>
      <c r="Q60" s="554">
        <f t="shared" si="32"/>
        <v>0</v>
      </c>
      <c r="R60" s="554">
        <f>IF(Титульный!$B$23="Общая",2.2,0)</f>
        <v>0</v>
      </c>
      <c r="S60" s="554">
        <f t="shared" si="33"/>
        <v>0</v>
      </c>
      <c r="T60" s="554">
        <f>IF(Титульный!$B$23="Общая",0,SUM(O60,S60)*0.18)</f>
        <v>0</v>
      </c>
      <c r="U60" s="554">
        <f t="shared" si="4"/>
        <v>0</v>
      </c>
    </row>
    <row r="61" spans="1:22">
      <c r="A61" s="24"/>
      <c r="B61" s="24"/>
      <c r="C61" s="24"/>
      <c r="D61" s="24"/>
      <c r="E61" s="142"/>
      <c r="F61" s="139"/>
      <c r="G61" s="24"/>
      <c r="H61" s="570">
        <f t="shared" si="26"/>
        <v>0</v>
      </c>
      <c r="I61" s="139"/>
      <c r="J61" s="570">
        <f t="shared" si="27"/>
        <v>0</v>
      </c>
      <c r="K61" s="570">
        <f t="shared" si="34"/>
        <v>0</v>
      </c>
      <c r="L61" s="142"/>
      <c r="M61" s="147"/>
      <c r="N61" s="554">
        <f t="shared" si="29"/>
        <v>0</v>
      </c>
      <c r="O61" s="554">
        <f t="shared" si="30"/>
        <v>0</v>
      </c>
      <c r="P61" s="554">
        <f t="shared" si="31"/>
        <v>0</v>
      </c>
      <c r="Q61" s="554">
        <f t="shared" si="32"/>
        <v>0</v>
      </c>
      <c r="R61" s="554">
        <f>IF(Титульный!$B$23="Общая",2.2,0)</f>
        <v>0</v>
      </c>
      <c r="S61" s="554">
        <f t="shared" si="33"/>
        <v>0</v>
      </c>
      <c r="T61" s="554">
        <f>IF(Титульный!$B$23="Общая",0,SUM(O61,S61)*0.18)</f>
        <v>0</v>
      </c>
      <c r="U61" s="554">
        <f t="shared" si="4"/>
        <v>0</v>
      </c>
    </row>
    <row r="62" spans="1:22">
      <c r="A62" s="24"/>
      <c r="B62" s="24"/>
      <c r="C62" s="24"/>
      <c r="D62" s="24"/>
      <c r="E62" s="142"/>
      <c r="F62" s="139"/>
      <c r="G62" s="24"/>
      <c r="H62" s="570">
        <f t="shared" si="26"/>
        <v>0</v>
      </c>
      <c r="I62" s="139"/>
      <c r="J62" s="570">
        <f t="shared" si="27"/>
        <v>0</v>
      </c>
      <c r="K62" s="570">
        <f t="shared" si="34"/>
        <v>0</v>
      </c>
      <c r="L62" s="142"/>
      <c r="M62" s="147"/>
      <c r="N62" s="554">
        <f t="shared" si="29"/>
        <v>0</v>
      </c>
      <c r="O62" s="554">
        <f t="shared" si="30"/>
        <v>0</v>
      </c>
      <c r="P62" s="554">
        <f t="shared" si="31"/>
        <v>0</v>
      </c>
      <c r="Q62" s="554">
        <f t="shared" si="32"/>
        <v>0</v>
      </c>
      <c r="R62" s="554">
        <f>IF(Титульный!$B$23="Общая",2.2,0)</f>
        <v>0</v>
      </c>
      <c r="S62" s="554">
        <f t="shared" si="33"/>
        <v>0</v>
      </c>
      <c r="T62" s="554">
        <f>IF(Титульный!$B$23="Общая",0,SUM(O62,S62)*0.18)</f>
        <v>0</v>
      </c>
      <c r="U62" s="554">
        <f t="shared" si="4"/>
        <v>0</v>
      </c>
    </row>
    <row r="63" spans="1:22">
      <c r="A63" s="24"/>
      <c r="B63" s="24"/>
      <c r="C63" s="24"/>
      <c r="D63" s="24"/>
      <c r="E63" s="142"/>
      <c r="F63" s="139"/>
      <c r="G63" s="24"/>
      <c r="H63" s="570">
        <f t="shared" si="26"/>
        <v>0</v>
      </c>
      <c r="I63" s="139"/>
      <c r="J63" s="570">
        <f t="shared" si="27"/>
        <v>0</v>
      </c>
      <c r="K63" s="570">
        <f t="shared" si="34"/>
        <v>0</v>
      </c>
      <c r="L63" s="142"/>
      <c r="M63" s="147"/>
      <c r="N63" s="554">
        <f t="shared" si="29"/>
        <v>0</v>
      </c>
      <c r="O63" s="554">
        <f t="shared" si="30"/>
        <v>0</v>
      </c>
      <c r="P63" s="554">
        <f t="shared" si="31"/>
        <v>0</v>
      </c>
      <c r="Q63" s="554">
        <f t="shared" si="32"/>
        <v>0</v>
      </c>
      <c r="R63" s="554">
        <f>IF(Титульный!$B$23="Общая",2.2,0)</f>
        <v>0</v>
      </c>
      <c r="S63" s="554">
        <f t="shared" si="33"/>
        <v>0</v>
      </c>
      <c r="T63" s="554">
        <f>IF(Титульный!$B$23="Общая",0,SUM(O63,S63)*0.18)</f>
        <v>0</v>
      </c>
      <c r="U63" s="554">
        <f t="shared" si="4"/>
        <v>0</v>
      </c>
    </row>
    <row r="64" spans="1:22">
      <c r="A64" s="24"/>
      <c r="B64" s="24"/>
      <c r="C64" s="24"/>
      <c r="D64" s="24"/>
      <c r="E64" s="142"/>
      <c r="F64" s="139"/>
      <c r="G64" s="24"/>
      <c r="H64" s="570">
        <f t="shared" si="26"/>
        <v>0</v>
      </c>
      <c r="I64" s="139"/>
      <c r="J64" s="570">
        <f t="shared" si="27"/>
        <v>0</v>
      </c>
      <c r="K64" s="570">
        <f t="shared" si="34"/>
        <v>0</v>
      </c>
      <c r="L64" s="142"/>
      <c r="M64" s="147"/>
      <c r="N64" s="554">
        <f t="shared" si="29"/>
        <v>0</v>
      </c>
      <c r="O64" s="554">
        <f t="shared" si="30"/>
        <v>0</v>
      </c>
      <c r="P64" s="554">
        <f t="shared" si="31"/>
        <v>0</v>
      </c>
      <c r="Q64" s="554">
        <f t="shared" si="32"/>
        <v>0</v>
      </c>
      <c r="R64" s="554">
        <f>IF(Титульный!$B$23="Общая",2.2,0)</f>
        <v>0</v>
      </c>
      <c r="S64" s="554">
        <f t="shared" si="33"/>
        <v>0</v>
      </c>
      <c r="T64" s="554">
        <f>IF(Титульный!$B$23="Общая",0,SUM(O64,S64)*0.18)</f>
        <v>0</v>
      </c>
      <c r="U64" s="554">
        <f t="shared" si="4"/>
        <v>0</v>
      </c>
    </row>
    <row r="65" spans="1:21">
      <c r="A65" s="24"/>
      <c r="B65" s="24"/>
      <c r="C65" s="24"/>
      <c r="D65" s="24"/>
      <c r="E65" s="142"/>
      <c r="F65" s="139"/>
      <c r="G65" s="24"/>
      <c r="H65" s="570">
        <f t="shared" si="26"/>
        <v>0</v>
      </c>
      <c r="I65" s="139"/>
      <c r="J65" s="570">
        <f t="shared" si="27"/>
        <v>0</v>
      </c>
      <c r="K65" s="570">
        <f t="shared" si="34"/>
        <v>0</v>
      </c>
      <c r="L65" s="142"/>
      <c r="M65" s="147"/>
      <c r="N65" s="554">
        <f t="shared" si="29"/>
        <v>0</v>
      </c>
      <c r="O65" s="554">
        <f t="shared" si="30"/>
        <v>0</v>
      </c>
      <c r="P65" s="554">
        <f t="shared" si="31"/>
        <v>0</v>
      </c>
      <c r="Q65" s="554">
        <f t="shared" si="32"/>
        <v>0</v>
      </c>
      <c r="R65" s="554">
        <f>IF(Титульный!$B$23="Общая",2.2,0)</f>
        <v>0</v>
      </c>
      <c r="S65" s="554">
        <f t="shared" si="33"/>
        <v>0</v>
      </c>
      <c r="T65" s="554">
        <f>IF(Титульный!$B$23="Общая",0,SUM(O65,S65)*0.18)</f>
        <v>0</v>
      </c>
      <c r="U65" s="554">
        <f t="shared" si="4"/>
        <v>0</v>
      </c>
    </row>
    <row r="66" spans="1:21">
      <c r="A66" s="24"/>
      <c r="B66" s="24"/>
      <c r="C66" s="24"/>
      <c r="D66" s="24"/>
      <c r="E66" s="142"/>
      <c r="F66" s="139"/>
      <c r="G66" s="24"/>
      <c r="H66" s="570">
        <f t="shared" si="26"/>
        <v>0</v>
      </c>
      <c r="I66" s="139"/>
      <c r="J66" s="570">
        <f t="shared" si="27"/>
        <v>0</v>
      </c>
      <c r="K66" s="570">
        <f t="shared" si="34"/>
        <v>0</v>
      </c>
      <c r="L66" s="142"/>
      <c r="M66" s="147"/>
      <c r="N66" s="554">
        <f t="shared" si="29"/>
        <v>0</v>
      </c>
      <c r="O66" s="554">
        <f t="shared" si="30"/>
        <v>0</v>
      </c>
      <c r="P66" s="554">
        <f t="shared" si="31"/>
        <v>0</v>
      </c>
      <c r="Q66" s="554">
        <f t="shared" si="32"/>
        <v>0</v>
      </c>
      <c r="R66" s="554">
        <f>IF(Титульный!$B$23="Общая",2.2,0)</f>
        <v>0</v>
      </c>
      <c r="S66" s="554">
        <f t="shared" si="33"/>
        <v>0</v>
      </c>
      <c r="T66" s="554">
        <f>IF(Титульный!$B$23="Общая",0,SUM(O66,S66)*0.18)</f>
        <v>0</v>
      </c>
      <c r="U66" s="554">
        <f t="shared" si="4"/>
        <v>0</v>
      </c>
    </row>
    <row r="67" spans="1:21">
      <c r="A67" s="24"/>
      <c r="B67" s="24"/>
      <c r="C67" s="24"/>
      <c r="D67" s="24"/>
      <c r="E67" s="142"/>
      <c r="F67" s="139"/>
      <c r="G67" s="24"/>
      <c r="H67" s="570">
        <f t="shared" si="26"/>
        <v>0</v>
      </c>
      <c r="I67" s="139"/>
      <c r="J67" s="570">
        <f t="shared" si="27"/>
        <v>0</v>
      </c>
      <c r="K67" s="570">
        <f t="shared" si="34"/>
        <v>0</v>
      </c>
      <c r="L67" s="142"/>
      <c r="M67" s="147"/>
      <c r="N67" s="554">
        <f t="shared" si="29"/>
        <v>0</v>
      </c>
      <c r="O67" s="554">
        <f t="shared" si="30"/>
        <v>0</v>
      </c>
      <c r="P67" s="554">
        <f t="shared" si="31"/>
        <v>0</v>
      </c>
      <c r="Q67" s="554">
        <f t="shared" si="32"/>
        <v>0</v>
      </c>
      <c r="R67" s="554">
        <f>IF(Титульный!$B$23="Общая",2.2,0)</f>
        <v>0</v>
      </c>
      <c r="S67" s="554">
        <f t="shared" si="33"/>
        <v>0</v>
      </c>
      <c r="T67" s="554">
        <f>IF(Титульный!$B$23="Общая",0,SUM(O67,S67)*0.18)</f>
        <v>0</v>
      </c>
      <c r="U67" s="554">
        <f t="shared" si="4"/>
        <v>0</v>
      </c>
    </row>
    <row r="68" spans="1:21">
      <c r="A68" s="24"/>
      <c r="B68" s="24"/>
      <c r="C68" s="24"/>
      <c r="D68" s="24"/>
      <c r="E68" s="142"/>
      <c r="F68" s="139"/>
      <c r="G68" s="24"/>
      <c r="H68" s="570">
        <f t="shared" si="26"/>
        <v>0</v>
      </c>
      <c r="I68" s="139"/>
      <c r="J68" s="570">
        <f t="shared" si="27"/>
        <v>0</v>
      </c>
      <c r="K68" s="570">
        <f t="shared" si="34"/>
        <v>0</v>
      </c>
      <c r="L68" s="142"/>
      <c r="M68" s="147"/>
      <c r="N68" s="554">
        <f t="shared" si="29"/>
        <v>0</v>
      </c>
      <c r="O68" s="554">
        <f t="shared" si="30"/>
        <v>0</v>
      </c>
      <c r="P68" s="554">
        <f t="shared" si="31"/>
        <v>0</v>
      </c>
      <c r="Q68" s="554">
        <f t="shared" si="32"/>
        <v>0</v>
      </c>
      <c r="R68" s="554">
        <f>IF(Титульный!$B$23="Общая",2.2,0)</f>
        <v>0</v>
      </c>
      <c r="S68" s="554">
        <f t="shared" si="33"/>
        <v>0</v>
      </c>
      <c r="T68" s="554">
        <f>IF(Титульный!$B$23="Общая",0,SUM(O68,S68)*0.18)</f>
        <v>0</v>
      </c>
      <c r="U68" s="554">
        <f t="shared" si="4"/>
        <v>0</v>
      </c>
    </row>
    <row r="69" spans="1:21">
      <c r="A69" s="24"/>
      <c r="B69" s="24"/>
      <c r="C69" s="24"/>
      <c r="D69" s="24"/>
      <c r="E69" s="142"/>
      <c r="F69" s="139"/>
      <c r="G69" s="24"/>
      <c r="H69" s="570">
        <f t="shared" si="26"/>
        <v>0</v>
      </c>
      <c r="I69" s="139"/>
      <c r="J69" s="570">
        <f t="shared" si="27"/>
        <v>0</v>
      </c>
      <c r="K69" s="570">
        <f t="shared" si="34"/>
        <v>0</v>
      </c>
      <c r="L69" s="142"/>
      <c r="M69" s="147"/>
      <c r="N69" s="554">
        <f t="shared" si="29"/>
        <v>0</v>
      </c>
      <c r="O69" s="554">
        <f t="shared" si="30"/>
        <v>0</v>
      </c>
      <c r="P69" s="554">
        <f t="shared" si="31"/>
        <v>0</v>
      </c>
      <c r="Q69" s="554">
        <f t="shared" si="32"/>
        <v>0</v>
      </c>
      <c r="R69" s="554">
        <f>IF(Титульный!$B$23="Общая",2.2,0)</f>
        <v>0</v>
      </c>
      <c r="S69" s="554">
        <f t="shared" si="33"/>
        <v>0</v>
      </c>
      <c r="T69" s="554">
        <f>IF(Титульный!$B$23="Общая",0,SUM(O69,S69)*0.18)</f>
        <v>0</v>
      </c>
      <c r="U69" s="554">
        <f t="shared" si="4"/>
        <v>0</v>
      </c>
    </row>
    <row r="70" spans="1:21">
      <c r="A70" s="24"/>
      <c r="B70" s="24"/>
      <c r="C70" s="24"/>
      <c r="D70" s="24"/>
      <c r="E70" s="142"/>
      <c r="F70" s="139"/>
      <c r="G70" s="24"/>
      <c r="H70" s="570">
        <f t="shared" si="26"/>
        <v>0</v>
      </c>
      <c r="I70" s="139"/>
      <c r="J70" s="570">
        <f t="shared" si="27"/>
        <v>0</v>
      </c>
      <c r="K70" s="570">
        <f t="shared" si="34"/>
        <v>0</v>
      </c>
      <c r="L70" s="142"/>
      <c r="M70" s="147"/>
      <c r="N70" s="554">
        <f t="shared" si="29"/>
        <v>0</v>
      </c>
      <c r="O70" s="554">
        <f>IF(H70*12&lt;N70,H70*12,N70)</f>
        <v>0</v>
      </c>
      <c r="P70" s="554">
        <f t="shared" si="31"/>
        <v>0</v>
      </c>
      <c r="Q70" s="554">
        <f t="shared" si="32"/>
        <v>0</v>
      </c>
      <c r="R70" s="554">
        <f>IF(Титульный!$B$23="Общая",2.2,0)</f>
        <v>0</v>
      </c>
      <c r="S70" s="554">
        <f t="shared" si="33"/>
        <v>0</v>
      </c>
      <c r="T70" s="554">
        <f>IF(Титульный!$B$23="Общая",0,SUM(O70,S70)*0.18)</f>
        <v>0</v>
      </c>
      <c r="U70" s="554">
        <f t="shared" si="4"/>
        <v>0</v>
      </c>
    </row>
    <row r="71" spans="1:21" ht="31.5" customHeight="1">
      <c r="A71" s="137" t="s">
        <v>570</v>
      </c>
      <c r="B71" s="138" t="s">
        <v>480</v>
      </c>
      <c r="C71" s="138" t="s">
        <v>480</v>
      </c>
      <c r="D71" s="138" t="s">
        <v>480</v>
      </c>
      <c r="E71" s="155">
        <f>SUM(E10:E70)</f>
        <v>0</v>
      </c>
      <c r="F71" s="138" t="s">
        <v>480</v>
      </c>
      <c r="G71" s="138" t="s">
        <v>480</v>
      </c>
      <c r="H71" s="155">
        <f>SUM(H10:H70)</f>
        <v>0</v>
      </c>
      <c r="I71" s="137"/>
      <c r="J71" s="155">
        <f>SUM(J10:J70)</f>
        <v>0</v>
      </c>
      <c r="K71" s="155">
        <f t="shared" si="34"/>
        <v>0</v>
      </c>
      <c r="L71" s="155">
        <f>SUM(L10:L70)</f>
        <v>0</v>
      </c>
      <c r="M71" s="155">
        <f t="shared" ref="M71:Q71" si="35">SUM(M10:M70)</f>
        <v>0</v>
      </c>
      <c r="N71" s="155">
        <f t="shared" si="35"/>
        <v>0</v>
      </c>
      <c r="O71" s="155">
        <f t="shared" si="35"/>
        <v>0</v>
      </c>
      <c r="P71" s="155">
        <f t="shared" si="35"/>
        <v>0</v>
      </c>
      <c r="Q71" s="155">
        <f t="shared" si="35"/>
        <v>0</v>
      </c>
      <c r="R71" s="152" t="s">
        <v>480</v>
      </c>
      <c r="S71" s="155">
        <f t="shared" ref="S71:U71" si="36">SUM(S10:S70)</f>
        <v>0</v>
      </c>
      <c r="T71" s="155">
        <f t="shared" si="36"/>
        <v>0</v>
      </c>
      <c r="U71" s="155">
        <f t="shared" si="36"/>
        <v>0</v>
      </c>
    </row>
    <row r="72" spans="1:21">
      <c r="E72" s="600"/>
      <c r="M72" s="1249">
        <f>IF(Титульный!B17="2016-2018",M71-НВВ2017!E32,M71-'НВВ базовый расчет'!H43)</f>
        <v>0</v>
      </c>
    </row>
    <row r="73" spans="1:21" ht="60.75" customHeight="1">
      <c r="K73" s="593"/>
      <c r="L73" s="593"/>
      <c r="M73" s="593"/>
      <c r="N73" s="593"/>
    </row>
    <row r="74" spans="1:21" ht="34.5" customHeight="1">
      <c r="J74" s="593"/>
      <c r="K74" s="593"/>
      <c r="L74" s="593"/>
      <c r="M74" s="593"/>
      <c r="N74" s="593"/>
    </row>
    <row r="75" spans="1:21" ht="27.75" customHeight="1">
      <c r="J75" s="593"/>
      <c r="K75" s="593"/>
      <c r="L75" s="593"/>
      <c r="M75" s="593"/>
      <c r="N75" s="593"/>
    </row>
    <row r="80" spans="1:21">
      <c r="G80" s="593"/>
      <c r="H80" s="153"/>
    </row>
    <row r="81" spans="7:8">
      <c r="G81" s="595"/>
      <c r="H81" s="153"/>
    </row>
    <row r="82" spans="7:8">
      <c r="G82" s="594"/>
      <c r="H82" s="153"/>
    </row>
    <row r="83" spans="7:8">
      <c r="H83" s="153"/>
    </row>
    <row r="84" spans="7:8">
      <c r="H84" s="153"/>
    </row>
    <row r="85" spans="7:8">
      <c r="H85" s="153"/>
    </row>
    <row r="86" spans="7:8">
      <c r="G86" s="594"/>
      <c r="H86" s="153"/>
    </row>
    <row r="87" spans="7:8">
      <c r="H87" s="153"/>
    </row>
  </sheetData>
  <sheetProtection password="F66E" sheet="1" objects="1" scenarios="1" formatCells="0" formatColumns="0" formatRows="0" insertRows="0"/>
  <mergeCells count="26">
    <mergeCell ref="H8:H9"/>
    <mergeCell ref="I8:I9"/>
    <mergeCell ref="J8:J9"/>
    <mergeCell ref="K8:K9"/>
    <mergeCell ref="L8:L9"/>
    <mergeCell ref="C8:C9"/>
    <mergeCell ref="D8:D9"/>
    <mergeCell ref="E8:E9"/>
    <mergeCell ref="F8:F9"/>
    <mergeCell ref="G8:G9"/>
    <mergeCell ref="A1:T1"/>
    <mergeCell ref="A3:T3"/>
    <mergeCell ref="A4:T4"/>
    <mergeCell ref="A5:T5"/>
    <mergeCell ref="T7:U7"/>
    <mergeCell ref="A7:A9"/>
    <mergeCell ref="T8:T9"/>
    <mergeCell ref="U8:U9"/>
    <mergeCell ref="O8:O9"/>
    <mergeCell ref="Q8:Q9"/>
    <mergeCell ref="R8:R9"/>
    <mergeCell ref="S8:S9"/>
    <mergeCell ref="N7:S7"/>
    <mergeCell ref="M8:M9"/>
    <mergeCell ref="B7:L7"/>
    <mergeCell ref="B8:B9"/>
  </mergeCells>
  <printOptions horizontalCentered="1"/>
  <pageMargins left="0.39370078740157483" right="0.19685039370078741" top="0.47" bottom="0.38" header="0.26" footer="0.17"/>
  <pageSetup paperSize="9" scale="82" orientation="portrait" verticalDpi="300" r:id="rId1"/>
  <headerFooter alignWithMargins="0">
    <oddHeader>&amp;RПриложение № 11.2 "Имущество"</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1:U71"/>
  <sheetViews>
    <sheetView zoomScaleSheetLayoutView="100" workbookViewId="0">
      <pane xSplit="1" ySplit="9" topLeftCell="B28" activePane="bottomRight" state="frozen"/>
      <selection pane="topRight" activeCell="B1" sqref="B1"/>
      <selection pane="bottomLeft" activeCell="A10" sqref="A10"/>
      <selection pane="bottomRight" sqref="A1:K1"/>
    </sheetView>
  </sheetViews>
  <sheetFormatPr defaultColWidth="11.5703125" defaultRowHeight="15"/>
  <cols>
    <col min="1" max="1" width="45.28515625" style="130" customWidth="1"/>
    <col min="2" max="2" width="17.5703125" style="130" customWidth="1"/>
    <col min="3" max="3" width="14.7109375" style="130" customWidth="1"/>
    <col min="4" max="5" width="16.42578125" style="130" customWidth="1"/>
    <col min="6" max="6" width="16.7109375" style="130" customWidth="1"/>
    <col min="7" max="11" width="14.85546875" style="130" customWidth="1"/>
    <col min="12" max="17" width="14.85546875" style="130" hidden="1" customWidth="1"/>
    <col min="18" max="18" width="16.85546875" style="130" hidden="1" customWidth="1"/>
    <col min="19" max="19" width="15.5703125" style="130" hidden="1" customWidth="1"/>
    <col min="20" max="20" width="15.85546875" style="130" hidden="1" customWidth="1"/>
    <col min="21" max="256" width="9" style="130" customWidth="1"/>
    <col min="257" max="257" width="21.42578125" style="130" customWidth="1"/>
    <col min="258" max="261" width="12.7109375" style="130" customWidth="1"/>
    <col min="262" max="16384" width="11.5703125" style="130"/>
  </cols>
  <sheetData>
    <row r="1" spans="1:21" ht="30.75" customHeight="1">
      <c r="A1" s="1566" t="s">
        <v>1002</v>
      </c>
      <c r="B1" s="1566"/>
      <c r="C1" s="1566"/>
      <c r="D1" s="1566"/>
      <c r="E1" s="1566"/>
      <c r="F1" s="1566"/>
      <c r="G1" s="1566"/>
      <c r="H1" s="1566"/>
      <c r="I1" s="1566"/>
      <c r="J1" s="1566"/>
      <c r="K1" s="1566"/>
      <c r="L1" s="338"/>
      <c r="M1" s="338"/>
      <c r="N1" s="143"/>
      <c r="O1" s="143"/>
      <c r="P1" s="143"/>
      <c r="Q1" s="143"/>
      <c r="R1" s="143"/>
      <c r="S1" s="125"/>
      <c r="T1" s="125"/>
    </row>
    <row r="2" spans="1:21" s="132" customFormat="1" ht="18.75" customHeight="1">
      <c r="A2" s="1567" t="str">
        <f>Титульный!B10</f>
        <v xml:space="preserve"> </v>
      </c>
      <c r="B2" s="1567"/>
      <c r="C2" s="1567"/>
      <c r="D2" s="1567"/>
      <c r="E2" s="1567"/>
      <c r="F2" s="1567"/>
      <c r="G2" s="1567"/>
      <c r="H2" s="1567"/>
      <c r="I2" s="1567"/>
      <c r="J2" s="1567"/>
      <c r="K2" s="1567"/>
      <c r="L2" s="339"/>
      <c r="M2" s="339"/>
      <c r="N2" s="144"/>
      <c r="O2" s="144"/>
      <c r="P2" s="144"/>
      <c r="Q2" s="144"/>
      <c r="R2" s="144"/>
      <c r="S2" s="131"/>
      <c r="T2" s="131"/>
    </row>
    <row r="3" spans="1:21" s="132" customFormat="1" ht="22.5" customHeight="1">
      <c r="A3" s="1568" t="str">
        <f>Титульный!B21</f>
        <v/>
      </c>
      <c r="B3" s="1568"/>
      <c r="C3" s="1568"/>
      <c r="D3" s="1568"/>
      <c r="E3" s="1568"/>
      <c r="F3" s="1568"/>
      <c r="G3" s="1568"/>
      <c r="H3" s="1568"/>
      <c r="I3" s="1568"/>
      <c r="J3" s="1568"/>
      <c r="K3" s="1568"/>
      <c r="L3" s="340"/>
      <c r="M3" s="340"/>
      <c r="N3" s="145"/>
      <c r="O3" s="145"/>
      <c r="P3" s="145"/>
      <c r="Q3" s="145"/>
      <c r="R3" s="145"/>
      <c r="S3" s="131"/>
      <c r="T3" s="131"/>
    </row>
    <row r="4" spans="1:21" ht="15" customHeight="1">
      <c r="A4" s="146"/>
      <c r="B4" s="146"/>
      <c r="C4" s="146"/>
      <c r="D4" s="146"/>
      <c r="E4" s="146"/>
      <c r="F4" s="146"/>
      <c r="G4" s="146"/>
      <c r="H4" s="146"/>
      <c r="I4" s="146"/>
      <c r="J4" s="146"/>
      <c r="K4" s="146"/>
      <c r="L4" s="146"/>
      <c r="M4" s="146"/>
      <c r="N4" s="146"/>
      <c r="O4" s="146"/>
      <c r="P4" s="146"/>
      <c r="Q4" s="146"/>
      <c r="R4" s="146"/>
      <c r="S4" s="131"/>
      <c r="T4" s="131"/>
    </row>
    <row r="5" spans="1:21" s="136" customFormat="1" ht="24" customHeight="1">
      <c r="A5" s="133" t="s">
        <v>199</v>
      </c>
      <c r="B5" s="221">
        <f>Титульный!B6</f>
        <v>0</v>
      </c>
      <c r="C5" s="140"/>
      <c r="D5" s="140"/>
      <c r="E5" s="133"/>
      <c r="F5" s="133" t="s">
        <v>200</v>
      </c>
      <c r="G5" s="330">
        <f>Титульный!B7</f>
        <v>0</v>
      </c>
      <c r="H5" s="134"/>
      <c r="I5" s="134"/>
      <c r="J5" s="134"/>
      <c r="K5" s="134" t="s">
        <v>588</v>
      </c>
      <c r="L5" s="134"/>
      <c r="M5" s="134"/>
      <c r="N5" s="134"/>
      <c r="O5" s="134"/>
      <c r="P5" s="134"/>
      <c r="Q5" s="135"/>
      <c r="R5" s="135"/>
      <c r="S5" s="125"/>
      <c r="T5" s="125"/>
    </row>
    <row r="6" spans="1:21" s="136" customFormat="1" ht="36" customHeight="1">
      <c r="A6" s="1569" t="s">
        <v>589</v>
      </c>
      <c r="B6" s="1569" t="s">
        <v>590</v>
      </c>
      <c r="C6" s="1569" t="s">
        <v>591</v>
      </c>
      <c r="D6" s="1569" t="s">
        <v>592</v>
      </c>
      <c r="E6" s="1569" t="s">
        <v>593</v>
      </c>
      <c r="F6" s="1572" t="s">
        <v>1129</v>
      </c>
      <c r="G6" s="1572"/>
      <c r="H6" s="1572"/>
      <c r="I6" s="1572"/>
      <c r="J6" s="1572"/>
      <c r="K6" s="1572"/>
      <c r="L6" s="1572" t="s">
        <v>217</v>
      </c>
      <c r="M6" s="1572"/>
      <c r="N6" s="1569" t="s">
        <v>593</v>
      </c>
      <c r="O6" s="1572" t="s">
        <v>217</v>
      </c>
      <c r="P6" s="1572"/>
      <c r="Q6" s="1572"/>
      <c r="R6" s="1572"/>
      <c r="S6" s="1572"/>
      <c r="T6" s="1572"/>
    </row>
    <row r="7" spans="1:21" ht="22.5" customHeight="1">
      <c r="A7" s="1570"/>
      <c r="B7" s="1570"/>
      <c r="C7" s="1570"/>
      <c r="D7" s="1570"/>
      <c r="E7" s="1570"/>
      <c r="F7" s="1573" t="s">
        <v>396</v>
      </c>
      <c r="G7" s="1573"/>
      <c r="H7" s="1573"/>
      <c r="I7" s="1573"/>
      <c r="J7" s="1573"/>
      <c r="K7" s="1573"/>
      <c r="L7" s="1573" t="s">
        <v>980</v>
      </c>
      <c r="M7" s="1573"/>
      <c r="N7" s="1570"/>
      <c r="O7" s="1573" t="s">
        <v>561</v>
      </c>
      <c r="P7" s="1573"/>
      <c r="Q7" s="1573"/>
      <c r="R7" s="1573"/>
      <c r="S7" s="1573"/>
      <c r="T7" s="1573"/>
    </row>
    <row r="8" spans="1:21" ht="46.5" customHeight="1">
      <c r="A8" s="1570"/>
      <c r="B8" s="1570"/>
      <c r="C8" s="1570"/>
      <c r="D8" s="1570"/>
      <c r="E8" s="1570"/>
      <c r="F8" s="1110" t="s">
        <v>595</v>
      </c>
      <c r="G8" s="1569" t="s">
        <v>594</v>
      </c>
      <c r="H8" s="1110" t="s">
        <v>596</v>
      </c>
      <c r="I8" s="1569" t="s">
        <v>597</v>
      </c>
      <c r="J8" s="1569" t="s">
        <v>599</v>
      </c>
      <c r="K8" s="1569" t="s">
        <v>598</v>
      </c>
      <c r="L8" s="1574" t="s">
        <v>1067</v>
      </c>
      <c r="M8" s="1574" t="s">
        <v>875</v>
      </c>
      <c r="N8" s="1570"/>
      <c r="O8" s="1110" t="s">
        <v>595</v>
      </c>
      <c r="P8" s="1569" t="s">
        <v>594</v>
      </c>
      <c r="Q8" s="1110" t="s">
        <v>596</v>
      </c>
      <c r="R8" s="1569" t="s">
        <v>597</v>
      </c>
      <c r="S8" s="1569" t="s">
        <v>599</v>
      </c>
      <c r="T8" s="1569" t="s">
        <v>598</v>
      </c>
    </row>
    <row r="9" spans="1:21" ht="27" customHeight="1">
      <c r="A9" s="1571"/>
      <c r="B9" s="1571"/>
      <c r="C9" s="1571"/>
      <c r="D9" s="1571"/>
      <c r="E9" s="1571"/>
      <c r="F9" s="568">
        <v>43101</v>
      </c>
      <c r="G9" s="1571"/>
      <c r="H9" s="568">
        <v>43466</v>
      </c>
      <c r="I9" s="1571"/>
      <c r="J9" s="1571"/>
      <c r="K9" s="1571"/>
      <c r="L9" s="1574"/>
      <c r="M9" s="1574"/>
      <c r="N9" s="1571"/>
      <c r="O9" s="568">
        <v>42736</v>
      </c>
      <c r="P9" s="1571"/>
      <c r="Q9" s="568">
        <v>43101</v>
      </c>
      <c r="R9" s="1571"/>
      <c r="S9" s="1571"/>
      <c r="T9" s="1571"/>
    </row>
    <row r="10" spans="1:21">
      <c r="A10" s="24"/>
      <c r="B10" s="142"/>
      <c r="C10" s="139"/>
      <c r="D10" s="24"/>
      <c r="E10" s="570">
        <f t="shared" ref="E10:E29" si="0">IF(D10=0,0,B10/D10)</f>
        <v>0</v>
      </c>
      <c r="F10" s="570">
        <f>IF(DATEDIF(C10,$F$9,"m")*E10&lt;B10,(B10-DATEDIF(C10,$F$9,"m")*E10),0)</f>
        <v>0</v>
      </c>
      <c r="G10" s="570">
        <f>IF(E10*12&lt;F10,E10*12,F10)</f>
        <v>0</v>
      </c>
      <c r="H10" s="570">
        <f>IF(E10*12&gt;F10,0,(F10-12*E10))</f>
        <v>0</v>
      </c>
      <c r="I10" s="570">
        <f>IF(E10=0,0,IF(12*E10&lt;F10,(13*F10-78*E10)/13,(F10*F10/E10-E10*(F10/E10)*0.5*(F10/E10-1))/13))</f>
        <v>0</v>
      </c>
      <c r="J10" s="570">
        <f>IF(Титульный!$B$23="Общая",2.2,0)</f>
        <v>0</v>
      </c>
      <c r="K10" s="570">
        <f>I10*J10/100</f>
        <v>0</v>
      </c>
      <c r="L10" s="147"/>
      <c r="M10" s="147"/>
      <c r="N10" s="554">
        <f>IF(D10=0,0,B10/D10)</f>
        <v>0</v>
      </c>
      <c r="O10" s="554">
        <f>IF(DATEDIF(C10,$O$9,"m")*N10&lt;B10,(B10-DATEDIF(C10,$O$9,"m")*N10),0)</f>
        <v>0</v>
      </c>
      <c r="P10" s="554">
        <f>IF(N10*12&lt;O10,E10*12,O10)</f>
        <v>0</v>
      </c>
      <c r="Q10" s="554">
        <f>IF(N10*12&gt;O10,0,(O10-12*N10))</f>
        <v>0</v>
      </c>
      <c r="R10" s="554">
        <f>IF(N10=0,0,IF(12*N10&lt;O10,(13*O10-78*N10)/13,(O10*O10/N10-N10*(O10/N10)*0.5*(O10/N10-1))/13))</f>
        <v>0</v>
      </c>
      <c r="S10" s="554">
        <f>IF(Титульный!$B$23="Общая",2.2,0)</f>
        <v>0</v>
      </c>
      <c r="T10" s="554">
        <f>R10*S10/100</f>
        <v>0</v>
      </c>
    </row>
    <row r="11" spans="1:21">
      <c r="A11" s="24"/>
      <c r="B11" s="142"/>
      <c r="C11" s="139"/>
      <c r="D11" s="24"/>
      <c r="E11" s="570">
        <f t="shared" si="0"/>
        <v>0</v>
      </c>
      <c r="F11" s="570">
        <f t="shared" ref="F11:F29" si="1">IF(DATEDIF(C11,$F$9,"m")*E11&lt;B11,(B11-DATEDIF(C11,$F$9,"m")*E11),0)</f>
        <v>0</v>
      </c>
      <c r="G11" s="570">
        <f t="shared" ref="G11:G29" si="2">IF(E11*12&lt;F11,E11*12,F11)</f>
        <v>0</v>
      </c>
      <c r="H11" s="570">
        <f t="shared" ref="H11:H29" si="3">IF(E11*12&gt;F11,0,(F11-12*E11))</f>
        <v>0</v>
      </c>
      <c r="I11" s="570">
        <f t="shared" ref="I11:I29" si="4">IF(E11=0,0,IF(12*E11&lt;F11,(13*F11-78*E11)/13,(F11*F11/E11-E11*(F11/E11)*0.5*(F11/E11-1))/13))</f>
        <v>0</v>
      </c>
      <c r="J11" s="570">
        <f>IF(Титульный!$B$23="Общая",2.2,0)</f>
        <v>0</v>
      </c>
      <c r="K11" s="570">
        <f t="shared" ref="K11:K29" si="5">I11*J11/100</f>
        <v>0</v>
      </c>
      <c r="L11" s="147"/>
      <c r="M11" s="147"/>
      <c r="N11" s="554">
        <f t="shared" ref="N11:N29" si="6">IF(D11=0,0,B11/D11)</f>
        <v>0</v>
      </c>
      <c r="O11" s="554">
        <f t="shared" ref="O11:O29" si="7">IF(DATEDIF(C11,$O$9,"m")*N11&lt;B11,(B11-DATEDIF(C11,$O$9,"m")*N11),0)</f>
        <v>0</v>
      </c>
      <c r="P11" s="554">
        <f t="shared" ref="P11:P29" si="8">IF(N11*12&lt;O11,E11*12,O11)</f>
        <v>0</v>
      </c>
      <c r="Q11" s="554">
        <f t="shared" ref="Q11:Q29" si="9">IF(N11*12&gt;O11,0,(O11-12*N11))</f>
        <v>0</v>
      </c>
      <c r="R11" s="554">
        <f t="shared" ref="R11:R29" si="10">IF(N11=0,0,IF(12*N11&lt;O11,(13*O11-78*N11)/13,(O11*O11/N11-N11*(O11/N11)*0.5*(O11/N11-1))/13))</f>
        <v>0</v>
      </c>
      <c r="S11" s="554">
        <f>IF(Титульный!$B$23="Общая",2.2,0)</f>
        <v>0</v>
      </c>
      <c r="T11" s="554">
        <f t="shared" ref="T11:T29" si="11">R11*S11/100</f>
        <v>0</v>
      </c>
    </row>
    <row r="12" spans="1:21">
      <c r="A12" s="24"/>
      <c r="B12" s="142"/>
      <c r="C12" s="139"/>
      <c r="D12" s="24"/>
      <c r="E12" s="570">
        <f t="shared" si="0"/>
        <v>0</v>
      </c>
      <c r="F12" s="570">
        <f t="shared" si="1"/>
        <v>0</v>
      </c>
      <c r="G12" s="570">
        <f t="shared" si="2"/>
        <v>0</v>
      </c>
      <c r="H12" s="570">
        <f t="shared" si="3"/>
        <v>0</v>
      </c>
      <c r="I12" s="570">
        <f t="shared" si="4"/>
        <v>0</v>
      </c>
      <c r="J12" s="570">
        <f>IF(Титульный!$B$23="Общая",2.2,0)</f>
        <v>0</v>
      </c>
      <c r="K12" s="570">
        <f t="shared" si="5"/>
        <v>0</v>
      </c>
      <c r="L12" s="147"/>
      <c r="M12" s="147"/>
      <c r="N12" s="554">
        <f t="shared" si="6"/>
        <v>0</v>
      </c>
      <c r="O12" s="554">
        <f t="shared" si="7"/>
        <v>0</v>
      </c>
      <c r="P12" s="554">
        <f t="shared" si="8"/>
        <v>0</v>
      </c>
      <c r="Q12" s="554">
        <f t="shared" si="9"/>
        <v>0</v>
      </c>
      <c r="R12" s="554">
        <f t="shared" si="10"/>
        <v>0</v>
      </c>
      <c r="S12" s="554">
        <f>IF(Титульный!$B$23="Общая",2.2,0)</f>
        <v>0</v>
      </c>
      <c r="T12" s="554">
        <f t="shared" si="11"/>
        <v>0</v>
      </c>
      <c r="U12" s="91" t="s">
        <v>539</v>
      </c>
    </row>
    <row r="13" spans="1:21">
      <c r="A13" s="24"/>
      <c r="B13" s="142"/>
      <c r="C13" s="139"/>
      <c r="D13" s="24"/>
      <c r="E13" s="570">
        <f t="shared" si="0"/>
        <v>0</v>
      </c>
      <c r="F13" s="570">
        <f t="shared" si="1"/>
        <v>0</v>
      </c>
      <c r="G13" s="570">
        <f t="shared" si="2"/>
        <v>0</v>
      </c>
      <c r="H13" s="570">
        <f t="shared" si="3"/>
        <v>0</v>
      </c>
      <c r="I13" s="570">
        <f t="shared" si="4"/>
        <v>0</v>
      </c>
      <c r="J13" s="570">
        <f>IF(Титульный!$B$23="Общая",2.2,0)</f>
        <v>0</v>
      </c>
      <c r="K13" s="570">
        <f t="shared" si="5"/>
        <v>0</v>
      </c>
      <c r="L13" s="147"/>
      <c r="M13" s="147"/>
      <c r="N13" s="554">
        <f t="shared" si="6"/>
        <v>0</v>
      </c>
      <c r="O13" s="554">
        <f t="shared" si="7"/>
        <v>0</v>
      </c>
      <c r="P13" s="554">
        <f t="shared" si="8"/>
        <v>0</v>
      </c>
      <c r="Q13" s="554">
        <f t="shared" si="9"/>
        <v>0</v>
      </c>
      <c r="R13" s="554">
        <f t="shared" si="10"/>
        <v>0</v>
      </c>
      <c r="S13" s="554">
        <f>IF(Титульный!$B$23="Общая",2.2,0)</f>
        <v>0</v>
      </c>
      <c r="T13" s="554">
        <f t="shared" si="11"/>
        <v>0</v>
      </c>
    </row>
    <row r="14" spans="1:21">
      <c r="A14" s="24"/>
      <c r="B14" s="142"/>
      <c r="C14" s="139"/>
      <c r="D14" s="24"/>
      <c r="E14" s="570">
        <f t="shared" si="0"/>
        <v>0</v>
      </c>
      <c r="F14" s="570">
        <f t="shared" si="1"/>
        <v>0</v>
      </c>
      <c r="G14" s="570">
        <f t="shared" si="2"/>
        <v>0</v>
      </c>
      <c r="H14" s="570">
        <f t="shared" si="3"/>
        <v>0</v>
      </c>
      <c r="I14" s="570">
        <f t="shared" si="4"/>
        <v>0</v>
      </c>
      <c r="J14" s="570">
        <f>IF(Титульный!$B$23="Общая",2.2,0)</f>
        <v>0</v>
      </c>
      <c r="K14" s="570">
        <f t="shared" si="5"/>
        <v>0</v>
      </c>
      <c r="L14" s="147"/>
      <c r="M14" s="147"/>
      <c r="N14" s="554">
        <f t="shared" si="6"/>
        <v>0</v>
      </c>
      <c r="O14" s="554">
        <f t="shared" si="7"/>
        <v>0</v>
      </c>
      <c r="P14" s="554">
        <f t="shared" si="8"/>
        <v>0</v>
      </c>
      <c r="Q14" s="554">
        <f t="shared" si="9"/>
        <v>0</v>
      </c>
      <c r="R14" s="554">
        <f t="shared" si="10"/>
        <v>0</v>
      </c>
      <c r="S14" s="554">
        <f>IF(Титульный!$B$23="Общая",2.2,0)</f>
        <v>0</v>
      </c>
      <c r="T14" s="554">
        <f t="shared" si="11"/>
        <v>0</v>
      </c>
    </row>
    <row r="15" spans="1:21">
      <c r="A15" s="24"/>
      <c r="B15" s="142"/>
      <c r="C15" s="139"/>
      <c r="D15" s="24"/>
      <c r="E15" s="570">
        <f t="shared" si="0"/>
        <v>0</v>
      </c>
      <c r="F15" s="570">
        <f t="shared" si="1"/>
        <v>0</v>
      </c>
      <c r="G15" s="570">
        <f t="shared" si="2"/>
        <v>0</v>
      </c>
      <c r="H15" s="570">
        <f t="shared" si="3"/>
        <v>0</v>
      </c>
      <c r="I15" s="570">
        <f t="shared" si="4"/>
        <v>0</v>
      </c>
      <c r="J15" s="570">
        <f>IF(Титульный!$B$23="Общая",2.2,0)</f>
        <v>0</v>
      </c>
      <c r="K15" s="570">
        <f t="shared" si="5"/>
        <v>0</v>
      </c>
      <c r="L15" s="147"/>
      <c r="M15" s="147"/>
      <c r="N15" s="554">
        <f t="shared" si="6"/>
        <v>0</v>
      </c>
      <c r="O15" s="554">
        <f t="shared" si="7"/>
        <v>0</v>
      </c>
      <c r="P15" s="554">
        <f t="shared" si="8"/>
        <v>0</v>
      </c>
      <c r="Q15" s="554">
        <f t="shared" si="9"/>
        <v>0</v>
      </c>
      <c r="R15" s="554">
        <f t="shared" si="10"/>
        <v>0</v>
      </c>
      <c r="S15" s="554">
        <f>IF(Титульный!$B$23="Общая",2.2,0)</f>
        <v>0</v>
      </c>
      <c r="T15" s="554">
        <f t="shared" si="11"/>
        <v>0</v>
      </c>
    </row>
    <row r="16" spans="1:21">
      <c r="A16" s="24"/>
      <c r="B16" s="142"/>
      <c r="C16" s="139"/>
      <c r="D16" s="24"/>
      <c r="E16" s="570">
        <f t="shared" si="0"/>
        <v>0</v>
      </c>
      <c r="F16" s="570">
        <f t="shared" si="1"/>
        <v>0</v>
      </c>
      <c r="G16" s="570">
        <f t="shared" si="2"/>
        <v>0</v>
      </c>
      <c r="H16" s="570">
        <f t="shared" si="3"/>
        <v>0</v>
      </c>
      <c r="I16" s="570">
        <f t="shared" si="4"/>
        <v>0</v>
      </c>
      <c r="J16" s="570">
        <f>IF(Титульный!$B$23="Общая",2.2,0)</f>
        <v>0</v>
      </c>
      <c r="K16" s="570">
        <f t="shared" si="5"/>
        <v>0</v>
      </c>
      <c r="L16" s="147"/>
      <c r="M16" s="147"/>
      <c r="N16" s="554">
        <f t="shared" si="6"/>
        <v>0</v>
      </c>
      <c r="O16" s="554">
        <f t="shared" si="7"/>
        <v>0</v>
      </c>
      <c r="P16" s="554">
        <f t="shared" si="8"/>
        <v>0</v>
      </c>
      <c r="Q16" s="554">
        <f t="shared" si="9"/>
        <v>0</v>
      </c>
      <c r="R16" s="554">
        <f t="shared" si="10"/>
        <v>0</v>
      </c>
      <c r="S16" s="554">
        <f>IF(Титульный!$B$23="Общая",2.2,0)</f>
        <v>0</v>
      </c>
      <c r="T16" s="554">
        <f t="shared" si="11"/>
        <v>0</v>
      </c>
    </row>
    <row r="17" spans="1:20">
      <c r="A17" s="24"/>
      <c r="B17" s="142"/>
      <c r="C17" s="139"/>
      <c r="D17" s="24"/>
      <c r="E17" s="570">
        <f t="shared" si="0"/>
        <v>0</v>
      </c>
      <c r="F17" s="570">
        <f t="shared" si="1"/>
        <v>0</v>
      </c>
      <c r="G17" s="570">
        <f t="shared" si="2"/>
        <v>0</v>
      </c>
      <c r="H17" s="570">
        <f t="shared" si="3"/>
        <v>0</v>
      </c>
      <c r="I17" s="570">
        <f t="shared" si="4"/>
        <v>0</v>
      </c>
      <c r="J17" s="570">
        <f>IF(Титульный!$B$23="Общая",2.2,0)</f>
        <v>0</v>
      </c>
      <c r="K17" s="570">
        <f t="shared" si="5"/>
        <v>0</v>
      </c>
      <c r="L17" s="147"/>
      <c r="M17" s="147"/>
      <c r="N17" s="554">
        <f t="shared" si="6"/>
        <v>0</v>
      </c>
      <c r="O17" s="554">
        <f t="shared" si="7"/>
        <v>0</v>
      </c>
      <c r="P17" s="554">
        <f t="shared" si="8"/>
        <v>0</v>
      </c>
      <c r="Q17" s="554">
        <f t="shared" si="9"/>
        <v>0</v>
      </c>
      <c r="R17" s="554">
        <f t="shared" si="10"/>
        <v>0</v>
      </c>
      <c r="S17" s="554">
        <f>IF(Титульный!$B$23="Общая",2.2,0)</f>
        <v>0</v>
      </c>
      <c r="T17" s="554">
        <f t="shared" si="11"/>
        <v>0</v>
      </c>
    </row>
    <row r="18" spans="1:20">
      <c r="A18" s="24"/>
      <c r="B18" s="142"/>
      <c r="C18" s="139"/>
      <c r="D18" s="24"/>
      <c r="E18" s="570">
        <f t="shared" si="0"/>
        <v>0</v>
      </c>
      <c r="F18" s="570">
        <f t="shared" si="1"/>
        <v>0</v>
      </c>
      <c r="G18" s="570">
        <f t="shared" si="2"/>
        <v>0</v>
      </c>
      <c r="H18" s="570">
        <f t="shared" si="3"/>
        <v>0</v>
      </c>
      <c r="I18" s="570">
        <f t="shared" si="4"/>
        <v>0</v>
      </c>
      <c r="J18" s="570">
        <f>IF(Титульный!$B$23="Общая",2.2,0)</f>
        <v>0</v>
      </c>
      <c r="K18" s="570">
        <f t="shared" si="5"/>
        <v>0</v>
      </c>
      <c r="L18" s="147"/>
      <c r="M18" s="147"/>
      <c r="N18" s="554">
        <f t="shared" si="6"/>
        <v>0</v>
      </c>
      <c r="O18" s="554">
        <f t="shared" si="7"/>
        <v>0</v>
      </c>
      <c r="P18" s="554">
        <f t="shared" si="8"/>
        <v>0</v>
      </c>
      <c r="Q18" s="554">
        <f t="shared" si="9"/>
        <v>0</v>
      </c>
      <c r="R18" s="554">
        <f t="shared" si="10"/>
        <v>0</v>
      </c>
      <c r="S18" s="554">
        <f>IF(Титульный!$B$23="Общая",2.2,0)</f>
        <v>0</v>
      </c>
      <c r="T18" s="554">
        <f t="shared" si="11"/>
        <v>0</v>
      </c>
    </row>
    <row r="19" spans="1:20">
      <c r="A19" s="24"/>
      <c r="B19" s="142"/>
      <c r="C19" s="139"/>
      <c r="D19" s="24"/>
      <c r="E19" s="570">
        <f t="shared" si="0"/>
        <v>0</v>
      </c>
      <c r="F19" s="570">
        <f t="shared" si="1"/>
        <v>0</v>
      </c>
      <c r="G19" s="570">
        <f t="shared" si="2"/>
        <v>0</v>
      </c>
      <c r="H19" s="570">
        <f t="shared" si="3"/>
        <v>0</v>
      </c>
      <c r="I19" s="570">
        <f t="shared" si="4"/>
        <v>0</v>
      </c>
      <c r="J19" s="570">
        <f>IF(Титульный!$B$23="Общая",2.2,0)</f>
        <v>0</v>
      </c>
      <c r="K19" s="570">
        <f t="shared" si="5"/>
        <v>0</v>
      </c>
      <c r="L19" s="147"/>
      <c r="M19" s="147"/>
      <c r="N19" s="554">
        <f t="shared" si="6"/>
        <v>0</v>
      </c>
      <c r="O19" s="554">
        <f t="shared" si="7"/>
        <v>0</v>
      </c>
      <c r="P19" s="554">
        <f t="shared" si="8"/>
        <v>0</v>
      </c>
      <c r="Q19" s="554">
        <f t="shared" si="9"/>
        <v>0</v>
      </c>
      <c r="R19" s="554">
        <f t="shared" si="10"/>
        <v>0</v>
      </c>
      <c r="S19" s="554">
        <f>IF(Титульный!$B$23="Общая",2.2,0)</f>
        <v>0</v>
      </c>
      <c r="T19" s="554">
        <f t="shared" si="11"/>
        <v>0</v>
      </c>
    </row>
    <row r="20" spans="1:20">
      <c r="A20" s="24"/>
      <c r="B20" s="142"/>
      <c r="C20" s="139"/>
      <c r="D20" s="24"/>
      <c r="E20" s="570">
        <f t="shared" si="0"/>
        <v>0</v>
      </c>
      <c r="F20" s="570">
        <f t="shared" si="1"/>
        <v>0</v>
      </c>
      <c r="G20" s="570">
        <f t="shared" si="2"/>
        <v>0</v>
      </c>
      <c r="H20" s="570">
        <f t="shared" si="3"/>
        <v>0</v>
      </c>
      <c r="I20" s="570">
        <f t="shared" si="4"/>
        <v>0</v>
      </c>
      <c r="J20" s="570">
        <f>IF(Титульный!$B$23="Общая",2.2,0)</f>
        <v>0</v>
      </c>
      <c r="K20" s="570">
        <f t="shared" si="5"/>
        <v>0</v>
      </c>
      <c r="L20" s="147"/>
      <c r="M20" s="147"/>
      <c r="N20" s="554">
        <f t="shared" si="6"/>
        <v>0</v>
      </c>
      <c r="O20" s="554">
        <f t="shared" si="7"/>
        <v>0</v>
      </c>
      <c r="P20" s="554">
        <f t="shared" si="8"/>
        <v>0</v>
      </c>
      <c r="Q20" s="554">
        <f t="shared" si="9"/>
        <v>0</v>
      </c>
      <c r="R20" s="554">
        <f t="shared" si="10"/>
        <v>0</v>
      </c>
      <c r="S20" s="554">
        <f>IF(Титульный!$B$23="Общая",2.2,0)</f>
        <v>0</v>
      </c>
      <c r="T20" s="554">
        <f t="shared" si="11"/>
        <v>0</v>
      </c>
    </row>
    <row r="21" spans="1:20">
      <c r="A21" s="24"/>
      <c r="B21" s="142"/>
      <c r="C21" s="139"/>
      <c r="D21" s="24"/>
      <c r="E21" s="570">
        <f t="shared" si="0"/>
        <v>0</v>
      </c>
      <c r="F21" s="570">
        <f t="shared" si="1"/>
        <v>0</v>
      </c>
      <c r="G21" s="570">
        <f t="shared" si="2"/>
        <v>0</v>
      </c>
      <c r="H21" s="570">
        <f t="shared" si="3"/>
        <v>0</v>
      </c>
      <c r="I21" s="570">
        <f t="shared" si="4"/>
        <v>0</v>
      </c>
      <c r="J21" s="570">
        <f>IF(Титульный!$B$23="Общая",2.2,0)</f>
        <v>0</v>
      </c>
      <c r="K21" s="570">
        <f t="shared" si="5"/>
        <v>0</v>
      </c>
      <c r="L21" s="147"/>
      <c r="M21" s="147"/>
      <c r="N21" s="554">
        <f t="shared" si="6"/>
        <v>0</v>
      </c>
      <c r="O21" s="554">
        <f t="shared" si="7"/>
        <v>0</v>
      </c>
      <c r="P21" s="554">
        <f t="shared" si="8"/>
        <v>0</v>
      </c>
      <c r="Q21" s="554">
        <f t="shared" si="9"/>
        <v>0</v>
      </c>
      <c r="R21" s="554">
        <f t="shared" si="10"/>
        <v>0</v>
      </c>
      <c r="S21" s="554">
        <f>IF(Титульный!$B$23="Общая",2.2,0)</f>
        <v>0</v>
      </c>
      <c r="T21" s="554">
        <f t="shared" si="11"/>
        <v>0</v>
      </c>
    </row>
    <row r="22" spans="1:20">
      <c r="A22" s="24"/>
      <c r="B22" s="142"/>
      <c r="C22" s="139"/>
      <c r="D22" s="24"/>
      <c r="E22" s="570">
        <f t="shared" si="0"/>
        <v>0</v>
      </c>
      <c r="F22" s="570">
        <f t="shared" si="1"/>
        <v>0</v>
      </c>
      <c r="G22" s="570">
        <f t="shared" si="2"/>
        <v>0</v>
      </c>
      <c r="H22" s="570">
        <f t="shared" si="3"/>
        <v>0</v>
      </c>
      <c r="I22" s="570">
        <f t="shared" si="4"/>
        <v>0</v>
      </c>
      <c r="J22" s="570">
        <f>IF(Титульный!$B$23="Общая",2.2,0)</f>
        <v>0</v>
      </c>
      <c r="K22" s="570">
        <f t="shared" si="5"/>
        <v>0</v>
      </c>
      <c r="L22" s="147"/>
      <c r="M22" s="147"/>
      <c r="N22" s="554">
        <f t="shared" si="6"/>
        <v>0</v>
      </c>
      <c r="O22" s="554">
        <f t="shared" si="7"/>
        <v>0</v>
      </c>
      <c r="P22" s="554">
        <f t="shared" si="8"/>
        <v>0</v>
      </c>
      <c r="Q22" s="554">
        <f t="shared" si="9"/>
        <v>0</v>
      </c>
      <c r="R22" s="554">
        <f t="shared" si="10"/>
        <v>0</v>
      </c>
      <c r="S22" s="554">
        <f>IF(Титульный!$B$23="Общая",2.2,0)</f>
        <v>0</v>
      </c>
      <c r="T22" s="554">
        <f t="shared" si="11"/>
        <v>0</v>
      </c>
    </row>
    <row r="23" spans="1:20">
      <c r="A23" s="24"/>
      <c r="B23" s="142"/>
      <c r="C23" s="139"/>
      <c r="D23" s="24"/>
      <c r="E23" s="570">
        <f t="shared" si="0"/>
        <v>0</v>
      </c>
      <c r="F23" s="570">
        <f t="shared" si="1"/>
        <v>0</v>
      </c>
      <c r="G23" s="570">
        <f t="shared" si="2"/>
        <v>0</v>
      </c>
      <c r="H23" s="570">
        <f t="shared" si="3"/>
        <v>0</v>
      </c>
      <c r="I23" s="570">
        <f t="shared" si="4"/>
        <v>0</v>
      </c>
      <c r="J23" s="570">
        <f>IF(Титульный!$B$23="Общая",2.2,0)</f>
        <v>0</v>
      </c>
      <c r="K23" s="570">
        <f t="shared" si="5"/>
        <v>0</v>
      </c>
      <c r="L23" s="147"/>
      <c r="M23" s="147"/>
      <c r="N23" s="554">
        <f t="shared" si="6"/>
        <v>0</v>
      </c>
      <c r="O23" s="554">
        <f t="shared" si="7"/>
        <v>0</v>
      </c>
      <c r="P23" s="554">
        <f t="shared" si="8"/>
        <v>0</v>
      </c>
      <c r="Q23" s="554">
        <f t="shared" si="9"/>
        <v>0</v>
      </c>
      <c r="R23" s="554">
        <f t="shared" si="10"/>
        <v>0</v>
      </c>
      <c r="S23" s="554">
        <f>IF(Титульный!$B$23="Общая",2.2,0)</f>
        <v>0</v>
      </c>
      <c r="T23" s="554">
        <f t="shared" si="11"/>
        <v>0</v>
      </c>
    </row>
    <row r="24" spans="1:20">
      <c r="A24" s="24"/>
      <c r="B24" s="142"/>
      <c r="C24" s="139"/>
      <c r="D24" s="24"/>
      <c r="E24" s="570">
        <f t="shared" si="0"/>
        <v>0</v>
      </c>
      <c r="F24" s="570">
        <f t="shared" si="1"/>
        <v>0</v>
      </c>
      <c r="G24" s="570">
        <f t="shared" si="2"/>
        <v>0</v>
      </c>
      <c r="H24" s="570">
        <f t="shared" si="3"/>
        <v>0</v>
      </c>
      <c r="I24" s="570">
        <f t="shared" si="4"/>
        <v>0</v>
      </c>
      <c r="J24" s="570">
        <f>IF(Титульный!$B$23="Общая",2.2,0)</f>
        <v>0</v>
      </c>
      <c r="K24" s="570">
        <f t="shared" si="5"/>
        <v>0</v>
      </c>
      <c r="L24" s="147"/>
      <c r="M24" s="147"/>
      <c r="N24" s="554">
        <f t="shared" si="6"/>
        <v>0</v>
      </c>
      <c r="O24" s="554">
        <f t="shared" si="7"/>
        <v>0</v>
      </c>
      <c r="P24" s="554">
        <f t="shared" si="8"/>
        <v>0</v>
      </c>
      <c r="Q24" s="554">
        <f t="shared" si="9"/>
        <v>0</v>
      </c>
      <c r="R24" s="554">
        <f t="shared" si="10"/>
        <v>0</v>
      </c>
      <c r="S24" s="554">
        <f>IF(Титульный!$B$23="Общая",2.2,0)</f>
        <v>0</v>
      </c>
      <c r="T24" s="554">
        <f t="shared" si="11"/>
        <v>0</v>
      </c>
    </row>
    <row r="25" spans="1:20">
      <c r="A25" s="24"/>
      <c r="B25" s="142"/>
      <c r="C25" s="139"/>
      <c r="D25" s="24"/>
      <c r="E25" s="570">
        <f t="shared" si="0"/>
        <v>0</v>
      </c>
      <c r="F25" s="570">
        <f t="shared" si="1"/>
        <v>0</v>
      </c>
      <c r="G25" s="570">
        <f t="shared" si="2"/>
        <v>0</v>
      </c>
      <c r="H25" s="570">
        <f t="shared" si="3"/>
        <v>0</v>
      </c>
      <c r="I25" s="570">
        <f t="shared" si="4"/>
        <v>0</v>
      </c>
      <c r="J25" s="570">
        <f>IF(Титульный!$B$23="Общая",2.2,0)</f>
        <v>0</v>
      </c>
      <c r="K25" s="570">
        <f t="shared" si="5"/>
        <v>0</v>
      </c>
      <c r="L25" s="147"/>
      <c r="M25" s="147"/>
      <c r="N25" s="554">
        <f t="shared" si="6"/>
        <v>0</v>
      </c>
      <c r="O25" s="554">
        <f t="shared" si="7"/>
        <v>0</v>
      </c>
      <c r="P25" s="554">
        <f t="shared" si="8"/>
        <v>0</v>
      </c>
      <c r="Q25" s="554">
        <f t="shared" si="9"/>
        <v>0</v>
      </c>
      <c r="R25" s="554">
        <f t="shared" si="10"/>
        <v>0</v>
      </c>
      <c r="S25" s="554">
        <f>IF(Титульный!$B$23="Общая",2.2,0)</f>
        <v>0</v>
      </c>
      <c r="T25" s="554">
        <f t="shared" si="11"/>
        <v>0</v>
      </c>
    </row>
    <row r="26" spans="1:20">
      <c r="A26" s="24"/>
      <c r="B26" s="142"/>
      <c r="C26" s="139"/>
      <c r="D26" s="24"/>
      <c r="E26" s="570">
        <f t="shared" si="0"/>
        <v>0</v>
      </c>
      <c r="F26" s="570">
        <f t="shared" si="1"/>
        <v>0</v>
      </c>
      <c r="G26" s="570">
        <f t="shared" si="2"/>
        <v>0</v>
      </c>
      <c r="H26" s="570">
        <f t="shared" si="3"/>
        <v>0</v>
      </c>
      <c r="I26" s="570">
        <f t="shared" si="4"/>
        <v>0</v>
      </c>
      <c r="J26" s="570">
        <f>IF(Титульный!$B$23="Общая",2.2,0)</f>
        <v>0</v>
      </c>
      <c r="K26" s="570">
        <f t="shared" si="5"/>
        <v>0</v>
      </c>
      <c r="L26" s="147"/>
      <c r="M26" s="147"/>
      <c r="N26" s="554">
        <f t="shared" si="6"/>
        <v>0</v>
      </c>
      <c r="O26" s="554">
        <f t="shared" si="7"/>
        <v>0</v>
      </c>
      <c r="P26" s="554">
        <f t="shared" si="8"/>
        <v>0</v>
      </c>
      <c r="Q26" s="554">
        <f t="shared" si="9"/>
        <v>0</v>
      </c>
      <c r="R26" s="554">
        <f t="shared" si="10"/>
        <v>0</v>
      </c>
      <c r="S26" s="554">
        <f>IF(Титульный!$B$23="Общая",2.2,0)</f>
        <v>0</v>
      </c>
      <c r="T26" s="554">
        <f t="shared" si="11"/>
        <v>0</v>
      </c>
    </row>
    <row r="27" spans="1:20">
      <c r="A27" s="24"/>
      <c r="B27" s="142"/>
      <c r="C27" s="139"/>
      <c r="D27" s="24"/>
      <c r="E27" s="570">
        <f t="shared" si="0"/>
        <v>0</v>
      </c>
      <c r="F27" s="570">
        <f t="shared" si="1"/>
        <v>0</v>
      </c>
      <c r="G27" s="570">
        <f t="shared" si="2"/>
        <v>0</v>
      </c>
      <c r="H27" s="570">
        <f t="shared" si="3"/>
        <v>0</v>
      </c>
      <c r="I27" s="570">
        <f t="shared" si="4"/>
        <v>0</v>
      </c>
      <c r="J27" s="570">
        <f>IF(Титульный!$B$23="Общая",2.2,0)</f>
        <v>0</v>
      </c>
      <c r="K27" s="570">
        <f t="shared" si="5"/>
        <v>0</v>
      </c>
      <c r="L27" s="147"/>
      <c r="M27" s="147"/>
      <c r="N27" s="554">
        <f t="shared" si="6"/>
        <v>0</v>
      </c>
      <c r="O27" s="554">
        <f t="shared" si="7"/>
        <v>0</v>
      </c>
      <c r="P27" s="554">
        <f t="shared" si="8"/>
        <v>0</v>
      </c>
      <c r="Q27" s="554">
        <f t="shared" si="9"/>
        <v>0</v>
      </c>
      <c r="R27" s="554">
        <f t="shared" si="10"/>
        <v>0</v>
      </c>
      <c r="S27" s="554">
        <f>IF(Титульный!$B$23="Общая",2.2,0)</f>
        <v>0</v>
      </c>
      <c r="T27" s="554">
        <f t="shared" si="11"/>
        <v>0</v>
      </c>
    </row>
    <row r="28" spans="1:20">
      <c r="A28" s="24"/>
      <c r="B28" s="142"/>
      <c r="C28" s="139"/>
      <c r="D28" s="24"/>
      <c r="E28" s="570">
        <f t="shared" si="0"/>
        <v>0</v>
      </c>
      <c r="F28" s="570">
        <f t="shared" si="1"/>
        <v>0</v>
      </c>
      <c r="G28" s="570">
        <f t="shared" si="2"/>
        <v>0</v>
      </c>
      <c r="H28" s="570">
        <f t="shared" si="3"/>
        <v>0</v>
      </c>
      <c r="I28" s="570">
        <f t="shared" si="4"/>
        <v>0</v>
      </c>
      <c r="J28" s="570">
        <f>IF(Титульный!$B$23="Общая",2.2,0)</f>
        <v>0</v>
      </c>
      <c r="K28" s="570">
        <f t="shared" si="5"/>
        <v>0</v>
      </c>
      <c r="L28" s="147"/>
      <c r="M28" s="147"/>
      <c r="N28" s="554">
        <f t="shared" si="6"/>
        <v>0</v>
      </c>
      <c r="O28" s="554">
        <f t="shared" si="7"/>
        <v>0</v>
      </c>
      <c r="P28" s="554">
        <f t="shared" si="8"/>
        <v>0</v>
      </c>
      <c r="Q28" s="554">
        <f t="shared" si="9"/>
        <v>0</v>
      </c>
      <c r="R28" s="554">
        <f t="shared" si="10"/>
        <v>0</v>
      </c>
      <c r="S28" s="554">
        <f>IF(Титульный!$B$23="Общая",2.2,0)</f>
        <v>0</v>
      </c>
      <c r="T28" s="554">
        <f t="shared" si="11"/>
        <v>0</v>
      </c>
    </row>
    <row r="29" spans="1:20">
      <c r="A29" s="24"/>
      <c r="B29" s="142"/>
      <c r="C29" s="139"/>
      <c r="D29" s="24"/>
      <c r="E29" s="570">
        <f t="shared" si="0"/>
        <v>0</v>
      </c>
      <c r="F29" s="570">
        <f t="shared" si="1"/>
        <v>0</v>
      </c>
      <c r="G29" s="570">
        <f t="shared" si="2"/>
        <v>0</v>
      </c>
      <c r="H29" s="570">
        <f t="shared" si="3"/>
        <v>0</v>
      </c>
      <c r="I29" s="570">
        <f t="shared" si="4"/>
        <v>0</v>
      </c>
      <c r="J29" s="570">
        <f>IF(Титульный!$B$23="Общая",2.2,0)</f>
        <v>0</v>
      </c>
      <c r="K29" s="570">
        <f t="shared" si="5"/>
        <v>0</v>
      </c>
      <c r="L29" s="147"/>
      <c r="M29" s="147"/>
      <c r="N29" s="554">
        <f t="shared" si="6"/>
        <v>0</v>
      </c>
      <c r="O29" s="554">
        <f t="shared" si="7"/>
        <v>0</v>
      </c>
      <c r="P29" s="554">
        <f t="shared" si="8"/>
        <v>0</v>
      </c>
      <c r="Q29" s="554">
        <f t="shared" si="9"/>
        <v>0</v>
      </c>
      <c r="R29" s="554">
        <f t="shared" si="10"/>
        <v>0</v>
      </c>
      <c r="S29" s="554">
        <f>IF(Титульный!$B$23="Общая",2.2,0)</f>
        <v>0</v>
      </c>
      <c r="T29" s="554">
        <f t="shared" si="11"/>
        <v>0</v>
      </c>
    </row>
    <row r="30" spans="1:20">
      <c r="A30" s="24"/>
      <c r="B30" s="142"/>
      <c r="C30" s="139"/>
      <c r="D30" s="24"/>
      <c r="E30" s="570">
        <f t="shared" ref="E30:E49" si="12">IF(D30=0,0,B30/D30)</f>
        <v>0</v>
      </c>
      <c r="F30" s="570">
        <f>IF(DATEDIF(C30,$F$9,"m")*E30&lt;B30,(B30-DATEDIF(C30,$F$9,"m")*E30),0)</f>
        <v>0</v>
      </c>
      <c r="G30" s="570">
        <f t="shared" ref="G30:G49" si="13">IF(E30*12&lt;F30,E30*12,F30)</f>
        <v>0</v>
      </c>
      <c r="H30" s="570">
        <f>IF(E30*12&gt;F30,0,(F30-12*E30))</f>
        <v>0</v>
      </c>
      <c r="I30" s="570">
        <f>IF(E30=0,0,IF(12*E30&lt;F30,(13*F30-78*E30)/13,(F30*F30/E30-E30*(F30/E30)*0.5*(F30/E30-1))/13))</f>
        <v>0</v>
      </c>
      <c r="J30" s="570">
        <f>IF(Титульный!$B$23="Общая",2.2,0)</f>
        <v>0</v>
      </c>
      <c r="K30" s="570">
        <f>I30*J30/100</f>
        <v>0</v>
      </c>
      <c r="L30" s="147"/>
      <c r="M30" s="147"/>
      <c r="N30" s="554">
        <f>IF(D30=0,0,B30/D30)</f>
        <v>0</v>
      </c>
      <c r="O30" s="554">
        <f>IF(DATEDIF(C30,$O$9,"m")*N30&lt;B30,(B30-DATEDIF(C30,$O$9,"m")*N30),0)</f>
        <v>0</v>
      </c>
      <c r="P30" s="554">
        <f t="shared" ref="P30:P49" si="14">IF(N30*12&lt;O30,E30*12,O30)</f>
        <v>0</v>
      </c>
      <c r="Q30" s="554">
        <f>IF(N30*12&gt;O30,0,(O30-12*N30))</f>
        <v>0</v>
      </c>
      <c r="R30" s="554">
        <f>IF(N30=0,0,IF(12*N30&lt;O30,(13*O30-78*N30)/13,(O30*O30/N30-N30*(O30/N30)*0.5*(O30/N30-1))/13))</f>
        <v>0</v>
      </c>
      <c r="S30" s="554">
        <f>IF(Титульный!$B$23="Общая",2.2,0)</f>
        <v>0</v>
      </c>
      <c r="T30" s="554">
        <f>R30*S30/100</f>
        <v>0</v>
      </c>
    </row>
    <row r="31" spans="1:20">
      <c r="A31" s="24"/>
      <c r="B31" s="142"/>
      <c r="C31" s="139"/>
      <c r="D31" s="24"/>
      <c r="E31" s="570">
        <f t="shared" si="12"/>
        <v>0</v>
      </c>
      <c r="F31" s="570">
        <f t="shared" ref="F31:F49" si="15">IF(DATEDIF(C31,$F$9,"m")*E31&lt;B31,(B31-DATEDIF(C31,$F$9,"m")*E31),0)</f>
        <v>0</v>
      </c>
      <c r="G31" s="570">
        <f t="shared" si="13"/>
        <v>0</v>
      </c>
      <c r="H31" s="570">
        <f t="shared" ref="H31:H49" si="16">IF(E31*12&gt;F31,0,(F31-12*E31))</f>
        <v>0</v>
      </c>
      <c r="I31" s="570">
        <f t="shared" ref="I31:I49" si="17">IF(E31=0,0,IF(12*E31&lt;F31,(13*F31-78*E31)/13,(F31*F31/E31-E31*(F31/E31)*0.5*(F31/E31-1))/13))</f>
        <v>0</v>
      </c>
      <c r="J31" s="570">
        <f>IF(Титульный!$B$23="Общая",2.2,0)</f>
        <v>0</v>
      </c>
      <c r="K31" s="570">
        <f t="shared" ref="K31:K49" si="18">I31*J31/100</f>
        <v>0</v>
      </c>
      <c r="L31" s="147"/>
      <c r="M31" s="147"/>
      <c r="N31" s="554">
        <f t="shared" ref="N31:N49" si="19">IF(D31=0,0,B31/D31)</f>
        <v>0</v>
      </c>
      <c r="O31" s="554">
        <f t="shared" ref="O31:O49" si="20">IF(DATEDIF(C31,$O$9,"m")*N31&lt;B31,(B31-DATEDIF(C31,$O$9,"m")*N31),0)</f>
        <v>0</v>
      </c>
      <c r="P31" s="554">
        <f t="shared" si="14"/>
        <v>0</v>
      </c>
      <c r="Q31" s="554">
        <f t="shared" ref="Q31:Q49" si="21">IF(N31*12&gt;O31,0,(O31-12*N31))</f>
        <v>0</v>
      </c>
      <c r="R31" s="554">
        <f t="shared" ref="R31:R49" si="22">IF(N31=0,0,IF(12*N31&lt;O31,(13*O31-78*N31)/13,(O31*O31/N31-N31*(O31/N31)*0.5*(O31/N31-1))/13))</f>
        <v>0</v>
      </c>
      <c r="S31" s="554">
        <f>IF(Титульный!$B$23="Общая",2.2,0)</f>
        <v>0</v>
      </c>
      <c r="T31" s="554">
        <f t="shared" ref="T31:T49" si="23">R31*S31/100</f>
        <v>0</v>
      </c>
    </row>
    <row r="32" spans="1:20">
      <c r="A32" s="24"/>
      <c r="B32" s="142"/>
      <c r="C32" s="139"/>
      <c r="D32" s="24"/>
      <c r="E32" s="570">
        <f t="shared" si="12"/>
        <v>0</v>
      </c>
      <c r="F32" s="570">
        <f t="shared" si="15"/>
        <v>0</v>
      </c>
      <c r="G32" s="570">
        <f t="shared" si="13"/>
        <v>0</v>
      </c>
      <c r="H32" s="570">
        <f t="shared" si="16"/>
        <v>0</v>
      </c>
      <c r="I32" s="570">
        <f t="shared" si="17"/>
        <v>0</v>
      </c>
      <c r="J32" s="570">
        <f>IF(Титульный!$B$23="Общая",2.2,0)</f>
        <v>0</v>
      </c>
      <c r="K32" s="570">
        <f t="shared" si="18"/>
        <v>0</v>
      </c>
      <c r="L32" s="147"/>
      <c r="M32" s="147"/>
      <c r="N32" s="554">
        <f t="shared" si="19"/>
        <v>0</v>
      </c>
      <c r="O32" s="554">
        <f t="shared" si="20"/>
        <v>0</v>
      </c>
      <c r="P32" s="554">
        <f t="shared" si="14"/>
        <v>0</v>
      </c>
      <c r="Q32" s="554">
        <f t="shared" si="21"/>
        <v>0</v>
      </c>
      <c r="R32" s="554">
        <f t="shared" si="22"/>
        <v>0</v>
      </c>
      <c r="S32" s="554">
        <f>IF(Титульный!$B$23="Общая",2.2,0)</f>
        <v>0</v>
      </c>
      <c r="T32" s="554">
        <f t="shared" si="23"/>
        <v>0</v>
      </c>
    </row>
    <row r="33" spans="1:21">
      <c r="A33" s="24"/>
      <c r="B33" s="142"/>
      <c r="C33" s="139"/>
      <c r="D33" s="24"/>
      <c r="E33" s="570">
        <f t="shared" si="12"/>
        <v>0</v>
      </c>
      <c r="F33" s="570">
        <f t="shared" si="15"/>
        <v>0</v>
      </c>
      <c r="G33" s="570">
        <f t="shared" si="13"/>
        <v>0</v>
      </c>
      <c r="H33" s="570">
        <f t="shared" si="16"/>
        <v>0</v>
      </c>
      <c r="I33" s="570">
        <f t="shared" si="17"/>
        <v>0</v>
      </c>
      <c r="J33" s="570">
        <f>IF(Титульный!$B$23="Общая",2.2,0)</f>
        <v>0</v>
      </c>
      <c r="K33" s="570">
        <f t="shared" si="18"/>
        <v>0</v>
      </c>
      <c r="L33" s="147"/>
      <c r="M33" s="147"/>
      <c r="N33" s="554">
        <f t="shared" si="19"/>
        <v>0</v>
      </c>
      <c r="O33" s="554">
        <f t="shared" si="20"/>
        <v>0</v>
      </c>
      <c r="P33" s="554">
        <f t="shared" si="14"/>
        <v>0</v>
      </c>
      <c r="Q33" s="554">
        <f t="shared" si="21"/>
        <v>0</v>
      </c>
      <c r="R33" s="554">
        <f t="shared" si="22"/>
        <v>0</v>
      </c>
      <c r="S33" s="554">
        <f>IF(Титульный!$B$23="Общая",2.2,0)</f>
        <v>0</v>
      </c>
      <c r="T33" s="554">
        <f t="shared" si="23"/>
        <v>0</v>
      </c>
      <c r="U33" s="91" t="s">
        <v>539</v>
      </c>
    </row>
    <row r="34" spans="1:21">
      <c r="A34" s="24"/>
      <c r="B34" s="142"/>
      <c r="C34" s="139"/>
      <c r="D34" s="24"/>
      <c r="E34" s="570">
        <f t="shared" si="12"/>
        <v>0</v>
      </c>
      <c r="F34" s="570">
        <f t="shared" si="15"/>
        <v>0</v>
      </c>
      <c r="G34" s="570">
        <f t="shared" si="13"/>
        <v>0</v>
      </c>
      <c r="H34" s="570">
        <f t="shared" si="16"/>
        <v>0</v>
      </c>
      <c r="I34" s="570">
        <f t="shared" si="17"/>
        <v>0</v>
      </c>
      <c r="J34" s="570">
        <f>IF(Титульный!$B$23="Общая",2.2,0)</f>
        <v>0</v>
      </c>
      <c r="K34" s="570">
        <f t="shared" si="18"/>
        <v>0</v>
      </c>
      <c r="L34" s="147"/>
      <c r="M34" s="147"/>
      <c r="N34" s="554">
        <f t="shared" si="19"/>
        <v>0</v>
      </c>
      <c r="O34" s="554">
        <f t="shared" si="20"/>
        <v>0</v>
      </c>
      <c r="P34" s="554">
        <f t="shared" si="14"/>
        <v>0</v>
      </c>
      <c r="Q34" s="554">
        <f t="shared" si="21"/>
        <v>0</v>
      </c>
      <c r="R34" s="554">
        <f t="shared" si="22"/>
        <v>0</v>
      </c>
      <c r="S34" s="554">
        <f>IF(Титульный!$B$23="Общая",2.2,0)</f>
        <v>0</v>
      </c>
      <c r="T34" s="554">
        <f t="shared" si="23"/>
        <v>0</v>
      </c>
    </row>
    <row r="35" spans="1:21">
      <c r="A35" s="24"/>
      <c r="B35" s="142"/>
      <c r="C35" s="139"/>
      <c r="D35" s="24"/>
      <c r="E35" s="570">
        <f t="shared" si="12"/>
        <v>0</v>
      </c>
      <c r="F35" s="570">
        <f t="shared" si="15"/>
        <v>0</v>
      </c>
      <c r="G35" s="570">
        <f t="shared" si="13"/>
        <v>0</v>
      </c>
      <c r="H35" s="570">
        <f t="shared" si="16"/>
        <v>0</v>
      </c>
      <c r="I35" s="570">
        <f t="shared" si="17"/>
        <v>0</v>
      </c>
      <c r="J35" s="570">
        <f>IF(Титульный!$B$23="Общая",2.2,0)</f>
        <v>0</v>
      </c>
      <c r="K35" s="570">
        <f t="shared" si="18"/>
        <v>0</v>
      </c>
      <c r="L35" s="147"/>
      <c r="M35" s="147"/>
      <c r="N35" s="554">
        <f t="shared" si="19"/>
        <v>0</v>
      </c>
      <c r="O35" s="554">
        <f t="shared" si="20"/>
        <v>0</v>
      </c>
      <c r="P35" s="554">
        <f t="shared" si="14"/>
        <v>0</v>
      </c>
      <c r="Q35" s="554">
        <f t="shared" si="21"/>
        <v>0</v>
      </c>
      <c r="R35" s="554">
        <f t="shared" si="22"/>
        <v>0</v>
      </c>
      <c r="S35" s="554">
        <f>IF(Титульный!$B$23="Общая",2.2,0)</f>
        <v>0</v>
      </c>
      <c r="T35" s="554">
        <f t="shared" si="23"/>
        <v>0</v>
      </c>
    </row>
    <row r="36" spans="1:21">
      <c r="A36" s="24"/>
      <c r="B36" s="142"/>
      <c r="C36" s="139"/>
      <c r="D36" s="24"/>
      <c r="E36" s="570">
        <f t="shared" si="12"/>
        <v>0</v>
      </c>
      <c r="F36" s="570">
        <f t="shared" si="15"/>
        <v>0</v>
      </c>
      <c r="G36" s="570">
        <f t="shared" si="13"/>
        <v>0</v>
      </c>
      <c r="H36" s="570">
        <f t="shared" si="16"/>
        <v>0</v>
      </c>
      <c r="I36" s="570">
        <f t="shared" si="17"/>
        <v>0</v>
      </c>
      <c r="J36" s="570">
        <f>IF(Титульный!$B$23="Общая",2.2,0)</f>
        <v>0</v>
      </c>
      <c r="K36" s="570">
        <f t="shared" si="18"/>
        <v>0</v>
      </c>
      <c r="L36" s="147"/>
      <c r="M36" s="147"/>
      <c r="N36" s="554">
        <f t="shared" si="19"/>
        <v>0</v>
      </c>
      <c r="O36" s="554">
        <f t="shared" si="20"/>
        <v>0</v>
      </c>
      <c r="P36" s="554">
        <f t="shared" si="14"/>
        <v>0</v>
      </c>
      <c r="Q36" s="554">
        <f t="shared" si="21"/>
        <v>0</v>
      </c>
      <c r="R36" s="554">
        <f t="shared" si="22"/>
        <v>0</v>
      </c>
      <c r="S36" s="554">
        <f>IF(Титульный!$B$23="Общая",2.2,0)</f>
        <v>0</v>
      </c>
      <c r="T36" s="554">
        <f t="shared" si="23"/>
        <v>0</v>
      </c>
    </row>
    <row r="37" spans="1:21">
      <c r="A37" s="24"/>
      <c r="B37" s="142"/>
      <c r="C37" s="139"/>
      <c r="D37" s="24"/>
      <c r="E37" s="570">
        <f t="shared" si="12"/>
        <v>0</v>
      </c>
      <c r="F37" s="570">
        <f t="shared" si="15"/>
        <v>0</v>
      </c>
      <c r="G37" s="570">
        <f t="shared" si="13"/>
        <v>0</v>
      </c>
      <c r="H37" s="570">
        <f t="shared" si="16"/>
        <v>0</v>
      </c>
      <c r="I37" s="570">
        <f t="shared" si="17"/>
        <v>0</v>
      </c>
      <c r="J37" s="570">
        <f>IF(Титульный!$B$23="Общая",2.2,0)</f>
        <v>0</v>
      </c>
      <c r="K37" s="570">
        <f t="shared" si="18"/>
        <v>0</v>
      </c>
      <c r="L37" s="147"/>
      <c r="M37" s="147"/>
      <c r="N37" s="554">
        <f t="shared" si="19"/>
        <v>0</v>
      </c>
      <c r="O37" s="554">
        <f t="shared" si="20"/>
        <v>0</v>
      </c>
      <c r="P37" s="554">
        <f t="shared" si="14"/>
        <v>0</v>
      </c>
      <c r="Q37" s="554">
        <f t="shared" si="21"/>
        <v>0</v>
      </c>
      <c r="R37" s="554">
        <f t="shared" si="22"/>
        <v>0</v>
      </c>
      <c r="S37" s="554">
        <f>IF(Титульный!$B$23="Общая",2.2,0)</f>
        <v>0</v>
      </c>
      <c r="T37" s="554">
        <f t="shared" si="23"/>
        <v>0</v>
      </c>
    </row>
    <row r="38" spans="1:21">
      <c r="A38" s="24"/>
      <c r="B38" s="142"/>
      <c r="C38" s="139"/>
      <c r="D38" s="24"/>
      <c r="E38" s="570">
        <f t="shared" si="12"/>
        <v>0</v>
      </c>
      <c r="F38" s="570">
        <f t="shared" si="15"/>
        <v>0</v>
      </c>
      <c r="G38" s="570">
        <f t="shared" si="13"/>
        <v>0</v>
      </c>
      <c r="H38" s="570">
        <f t="shared" si="16"/>
        <v>0</v>
      </c>
      <c r="I38" s="570">
        <f t="shared" si="17"/>
        <v>0</v>
      </c>
      <c r="J38" s="570">
        <f>IF(Титульный!$B$23="Общая",2.2,0)</f>
        <v>0</v>
      </c>
      <c r="K38" s="570">
        <f t="shared" si="18"/>
        <v>0</v>
      </c>
      <c r="L38" s="147"/>
      <c r="M38" s="147"/>
      <c r="N38" s="554">
        <f t="shared" si="19"/>
        <v>0</v>
      </c>
      <c r="O38" s="554">
        <f t="shared" si="20"/>
        <v>0</v>
      </c>
      <c r="P38" s="554">
        <f t="shared" si="14"/>
        <v>0</v>
      </c>
      <c r="Q38" s="554">
        <f t="shared" si="21"/>
        <v>0</v>
      </c>
      <c r="R38" s="554">
        <f t="shared" si="22"/>
        <v>0</v>
      </c>
      <c r="S38" s="554">
        <f>IF(Титульный!$B$23="Общая",2.2,0)</f>
        <v>0</v>
      </c>
      <c r="T38" s="554">
        <f t="shared" si="23"/>
        <v>0</v>
      </c>
    </row>
    <row r="39" spans="1:21">
      <c r="A39" s="24"/>
      <c r="B39" s="142"/>
      <c r="C39" s="139"/>
      <c r="D39" s="24"/>
      <c r="E39" s="570">
        <f t="shared" si="12"/>
        <v>0</v>
      </c>
      <c r="F39" s="570">
        <f t="shared" si="15"/>
        <v>0</v>
      </c>
      <c r="G39" s="570">
        <f t="shared" si="13"/>
        <v>0</v>
      </c>
      <c r="H39" s="570">
        <f t="shared" si="16"/>
        <v>0</v>
      </c>
      <c r="I39" s="570">
        <f t="shared" si="17"/>
        <v>0</v>
      </c>
      <c r="J39" s="570">
        <f>IF(Титульный!$B$23="Общая",2.2,0)</f>
        <v>0</v>
      </c>
      <c r="K39" s="570">
        <f t="shared" si="18"/>
        <v>0</v>
      </c>
      <c r="L39" s="147"/>
      <c r="M39" s="147"/>
      <c r="N39" s="554">
        <f t="shared" si="19"/>
        <v>0</v>
      </c>
      <c r="O39" s="554">
        <f t="shared" si="20"/>
        <v>0</v>
      </c>
      <c r="P39" s="554">
        <f t="shared" si="14"/>
        <v>0</v>
      </c>
      <c r="Q39" s="554">
        <f t="shared" si="21"/>
        <v>0</v>
      </c>
      <c r="R39" s="554">
        <f t="shared" si="22"/>
        <v>0</v>
      </c>
      <c r="S39" s="554">
        <f>IF(Титульный!$B$23="Общая",2.2,0)</f>
        <v>0</v>
      </c>
      <c r="T39" s="554">
        <f t="shared" si="23"/>
        <v>0</v>
      </c>
    </row>
    <row r="40" spans="1:21">
      <c r="A40" s="24"/>
      <c r="B40" s="142"/>
      <c r="C40" s="139"/>
      <c r="D40" s="24"/>
      <c r="E40" s="570">
        <f t="shared" si="12"/>
        <v>0</v>
      </c>
      <c r="F40" s="570">
        <f t="shared" si="15"/>
        <v>0</v>
      </c>
      <c r="G40" s="570">
        <f t="shared" si="13"/>
        <v>0</v>
      </c>
      <c r="H40" s="570">
        <f t="shared" si="16"/>
        <v>0</v>
      </c>
      <c r="I40" s="570">
        <f t="shared" si="17"/>
        <v>0</v>
      </c>
      <c r="J40" s="570">
        <f>IF(Титульный!$B$23="Общая",2.2,0)</f>
        <v>0</v>
      </c>
      <c r="K40" s="570">
        <f t="shared" si="18"/>
        <v>0</v>
      </c>
      <c r="L40" s="147"/>
      <c r="M40" s="147"/>
      <c r="N40" s="554">
        <f t="shared" si="19"/>
        <v>0</v>
      </c>
      <c r="O40" s="554">
        <f t="shared" si="20"/>
        <v>0</v>
      </c>
      <c r="P40" s="554">
        <f t="shared" si="14"/>
        <v>0</v>
      </c>
      <c r="Q40" s="554">
        <f t="shared" si="21"/>
        <v>0</v>
      </c>
      <c r="R40" s="554">
        <f t="shared" si="22"/>
        <v>0</v>
      </c>
      <c r="S40" s="554">
        <f>IF(Титульный!$B$23="Общая",2.2,0)</f>
        <v>0</v>
      </c>
      <c r="T40" s="554">
        <f t="shared" si="23"/>
        <v>0</v>
      </c>
    </row>
    <row r="41" spans="1:21">
      <c r="A41" s="24"/>
      <c r="B41" s="142"/>
      <c r="C41" s="139"/>
      <c r="D41" s="24"/>
      <c r="E41" s="570">
        <f t="shared" si="12"/>
        <v>0</v>
      </c>
      <c r="F41" s="570">
        <f t="shared" si="15"/>
        <v>0</v>
      </c>
      <c r="G41" s="570">
        <f t="shared" si="13"/>
        <v>0</v>
      </c>
      <c r="H41" s="570">
        <f t="shared" si="16"/>
        <v>0</v>
      </c>
      <c r="I41" s="570">
        <f t="shared" si="17"/>
        <v>0</v>
      </c>
      <c r="J41" s="570">
        <f>IF(Титульный!$B$23="Общая",2.2,0)</f>
        <v>0</v>
      </c>
      <c r="K41" s="570">
        <f t="shared" si="18"/>
        <v>0</v>
      </c>
      <c r="L41" s="147"/>
      <c r="M41" s="147"/>
      <c r="N41" s="554">
        <f t="shared" si="19"/>
        <v>0</v>
      </c>
      <c r="O41" s="554">
        <f t="shared" si="20"/>
        <v>0</v>
      </c>
      <c r="P41" s="554">
        <f t="shared" si="14"/>
        <v>0</v>
      </c>
      <c r="Q41" s="554">
        <f t="shared" si="21"/>
        <v>0</v>
      </c>
      <c r="R41" s="554">
        <f t="shared" si="22"/>
        <v>0</v>
      </c>
      <c r="S41" s="554">
        <f>IF(Титульный!$B$23="Общая",2.2,0)</f>
        <v>0</v>
      </c>
      <c r="T41" s="554">
        <f t="shared" si="23"/>
        <v>0</v>
      </c>
    </row>
    <row r="42" spans="1:21">
      <c r="A42" s="24"/>
      <c r="B42" s="142"/>
      <c r="C42" s="139"/>
      <c r="D42" s="24"/>
      <c r="E42" s="570">
        <f t="shared" si="12"/>
        <v>0</v>
      </c>
      <c r="F42" s="570">
        <f t="shared" si="15"/>
        <v>0</v>
      </c>
      <c r="G42" s="570">
        <f t="shared" si="13"/>
        <v>0</v>
      </c>
      <c r="H42" s="570">
        <f t="shared" si="16"/>
        <v>0</v>
      </c>
      <c r="I42" s="570">
        <f t="shared" si="17"/>
        <v>0</v>
      </c>
      <c r="J42" s="570">
        <f>IF(Титульный!$B$23="Общая",2.2,0)</f>
        <v>0</v>
      </c>
      <c r="K42" s="570">
        <f t="shared" si="18"/>
        <v>0</v>
      </c>
      <c r="L42" s="147"/>
      <c r="M42" s="147"/>
      <c r="N42" s="554">
        <f t="shared" si="19"/>
        <v>0</v>
      </c>
      <c r="O42" s="554">
        <f t="shared" si="20"/>
        <v>0</v>
      </c>
      <c r="P42" s="554">
        <f t="shared" si="14"/>
        <v>0</v>
      </c>
      <c r="Q42" s="554">
        <f t="shared" si="21"/>
        <v>0</v>
      </c>
      <c r="R42" s="554">
        <f t="shared" si="22"/>
        <v>0</v>
      </c>
      <c r="S42" s="554">
        <f>IF(Титульный!$B$23="Общая",2.2,0)</f>
        <v>0</v>
      </c>
      <c r="T42" s="554">
        <f t="shared" si="23"/>
        <v>0</v>
      </c>
    </row>
    <row r="43" spans="1:21">
      <c r="A43" s="24"/>
      <c r="B43" s="142"/>
      <c r="C43" s="139"/>
      <c r="D43" s="24"/>
      <c r="E43" s="570">
        <f t="shared" si="12"/>
        <v>0</v>
      </c>
      <c r="F43" s="570">
        <f t="shared" si="15"/>
        <v>0</v>
      </c>
      <c r="G43" s="570">
        <f t="shared" si="13"/>
        <v>0</v>
      </c>
      <c r="H43" s="570">
        <f t="shared" si="16"/>
        <v>0</v>
      </c>
      <c r="I43" s="570">
        <f t="shared" si="17"/>
        <v>0</v>
      </c>
      <c r="J43" s="570">
        <f>IF(Титульный!$B$23="Общая",2.2,0)</f>
        <v>0</v>
      </c>
      <c r="K43" s="570">
        <f t="shared" si="18"/>
        <v>0</v>
      </c>
      <c r="L43" s="147"/>
      <c r="M43" s="147"/>
      <c r="N43" s="554">
        <f t="shared" si="19"/>
        <v>0</v>
      </c>
      <c r="O43" s="554">
        <f t="shared" si="20"/>
        <v>0</v>
      </c>
      <c r="P43" s="554">
        <f t="shared" si="14"/>
        <v>0</v>
      </c>
      <c r="Q43" s="554">
        <f t="shared" si="21"/>
        <v>0</v>
      </c>
      <c r="R43" s="554">
        <f t="shared" si="22"/>
        <v>0</v>
      </c>
      <c r="S43" s="554">
        <f>IF(Титульный!$B$23="Общая",2.2,0)</f>
        <v>0</v>
      </c>
      <c r="T43" s="554">
        <f t="shared" si="23"/>
        <v>0</v>
      </c>
    </row>
    <row r="44" spans="1:21">
      <c r="A44" s="24"/>
      <c r="B44" s="142"/>
      <c r="C44" s="139"/>
      <c r="D44" s="24"/>
      <c r="E44" s="570">
        <f t="shared" si="12"/>
        <v>0</v>
      </c>
      <c r="F44" s="570">
        <f t="shared" si="15"/>
        <v>0</v>
      </c>
      <c r="G44" s="570">
        <f t="shared" si="13"/>
        <v>0</v>
      </c>
      <c r="H44" s="570">
        <f t="shared" si="16"/>
        <v>0</v>
      </c>
      <c r="I44" s="570">
        <f t="shared" si="17"/>
        <v>0</v>
      </c>
      <c r="J44" s="570">
        <f>IF(Титульный!$B$23="Общая",2.2,0)</f>
        <v>0</v>
      </c>
      <c r="K44" s="570">
        <f t="shared" si="18"/>
        <v>0</v>
      </c>
      <c r="L44" s="147"/>
      <c r="M44" s="147"/>
      <c r="N44" s="554">
        <f t="shared" si="19"/>
        <v>0</v>
      </c>
      <c r="O44" s="554">
        <f t="shared" si="20"/>
        <v>0</v>
      </c>
      <c r="P44" s="554">
        <f t="shared" si="14"/>
        <v>0</v>
      </c>
      <c r="Q44" s="554">
        <f t="shared" si="21"/>
        <v>0</v>
      </c>
      <c r="R44" s="554">
        <f t="shared" si="22"/>
        <v>0</v>
      </c>
      <c r="S44" s="554">
        <f>IF(Титульный!$B$23="Общая",2.2,0)</f>
        <v>0</v>
      </c>
      <c r="T44" s="554">
        <f t="shared" si="23"/>
        <v>0</v>
      </c>
    </row>
    <row r="45" spans="1:21">
      <c r="A45" s="24"/>
      <c r="B45" s="142"/>
      <c r="C45" s="139"/>
      <c r="D45" s="24"/>
      <c r="E45" s="570">
        <f t="shared" si="12"/>
        <v>0</v>
      </c>
      <c r="F45" s="570">
        <f t="shared" si="15"/>
        <v>0</v>
      </c>
      <c r="G45" s="570">
        <f t="shared" si="13"/>
        <v>0</v>
      </c>
      <c r="H45" s="570">
        <f t="shared" si="16"/>
        <v>0</v>
      </c>
      <c r="I45" s="570">
        <f t="shared" si="17"/>
        <v>0</v>
      </c>
      <c r="J45" s="570">
        <f>IF(Титульный!$B$23="Общая",2.2,0)</f>
        <v>0</v>
      </c>
      <c r="K45" s="570">
        <f t="shared" si="18"/>
        <v>0</v>
      </c>
      <c r="L45" s="147"/>
      <c r="M45" s="147"/>
      <c r="N45" s="554">
        <f t="shared" si="19"/>
        <v>0</v>
      </c>
      <c r="O45" s="554">
        <f t="shared" si="20"/>
        <v>0</v>
      </c>
      <c r="P45" s="554">
        <f t="shared" si="14"/>
        <v>0</v>
      </c>
      <c r="Q45" s="554">
        <f t="shared" si="21"/>
        <v>0</v>
      </c>
      <c r="R45" s="554">
        <f t="shared" si="22"/>
        <v>0</v>
      </c>
      <c r="S45" s="554">
        <f>IF(Титульный!$B$23="Общая",2.2,0)</f>
        <v>0</v>
      </c>
      <c r="T45" s="554">
        <f t="shared" si="23"/>
        <v>0</v>
      </c>
    </row>
    <row r="46" spans="1:21">
      <c r="A46" s="24"/>
      <c r="B46" s="142"/>
      <c r="C46" s="139"/>
      <c r="D46" s="24"/>
      <c r="E46" s="570">
        <f t="shared" si="12"/>
        <v>0</v>
      </c>
      <c r="F46" s="570">
        <f t="shared" si="15"/>
        <v>0</v>
      </c>
      <c r="G46" s="570">
        <f t="shared" si="13"/>
        <v>0</v>
      </c>
      <c r="H46" s="570">
        <f t="shared" si="16"/>
        <v>0</v>
      </c>
      <c r="I46" s="570">
        <f t="shared" si="17"/>
        <v>0</v>
      </c>
      <c r="J46" s="570">
        <f>IF(Титульный!$B$23="Общая",2.2,0)</f>
        <v>0</v>
      </c>
      <c r="K46" s="570">
        <f t="shared" si="18"/>
        <v>0</v>
      </c>
      <c r="L46" s="147"/>
      <c r="M46" s="147"/>
      <c r="N46" s="554">
        <f t="shared" si="19"/>
        <v>0</v>
      </c>
      <c r="O46" s="554">
        <f t="shared" si="20"/>
        <v>0</v>
      </c>
      <c r="P46" s="554">
        <f t="shared" si="14"/>
        <v>0</v>
      </c>
      <c r="Q46" s="554">
        <f t="shared" si="21"/>
        <v>0</v>
      </c>
      <c r="R46" s="554">
        <f t="shared" si="22"/>
        <v>0</v>
      </c>
      <c r="S46" s="554">
        <f>IF(Титульный!$B$23="Общая",2.2,0)</f>
        <v>0</v>
      </c>
      <c r="T46" s="554">
        <f t="shared" si="23"/>
        <v>0</v>
      </c>
    </row>
    <row r="47" spans="1:21">
      <c r="A47" s="24"/>
      <c r="B47" s="142"/>
      <c r="C47" s="139"/>
      <c r="D47" s="24"/>
      <c r="E47" s="570">
        <f t="shared" si="12"/>
        <v>0</v>
      </c>
      <c r="F47" s="570">
        <f t="shared" si="15"/>
        <v>0</v>
      </c>
      <c r="G47" s="570">
        <f t="shared" si="13"/>
        <v>0</v>
      </c>
      <c r="H47" s="570">
        <f t="shared" si="16"/>
        <v>0</v>
      </c>
      <c r="I47" s="570">
        <f t="shared" si="17"/>
        <v>0</v>
      </c>
      <c r="J47" s="570">
        <f>IF(Титульный!$B$23="Общая",2.2,0)</f>
        <v>0</v>
      </c>
      <c r="K47" s="570">
        <f t="shared" si="18"/>
        <v>0</v>
      </c>
      <c r="L47" s="147"/>
      <c r="M47" s="147"/>
      <c r="N47" s="554">
        <f t="shared" si="19"/>
        <v>0</v>
      </c>
      <c r="O47" s="554">
        <f t="shared" si="20"/>
        <v>0</v>
      </c>
      <c r="P47" s="554">
        <f t="shared" si="14"/>
        <v>0</v>
      </c>
      <c r="Q47" s="554">
        <f t="shared" si="21"/>
        <v>0</v>
      </c>
      <c r="R47" s="554">
        <f t="shared" si="22"/>
        <v>0</v>
      </c>
      <c r="S47" s="554">
        <f>IF(Титульный!$B$23="Общая",2.2,0)</f>
        <v>0</v>
      </c>
      <c r="T47" s="554">
        <f t="shared" si="23"/>
        <v>0</v>
      </c>
    </row>
    <row r="48" spans="1:21">
      <c r="A48" s="24"/>
      <c r="B48" s="142"/>
      <c r="C48" s="139"/>
      <c r="D48" s="24"/>
      <c r="E48" s="570">
        <f t="shared" si="12"/>
        <v>0</v>
      </c>
      <c r="F48" s="570">
        <f t="shared" si="15"/>
        <v>0</v>
      </c>
      <c r="G48" s="570">
        <f t="shared" si="13"/>
        <v>0</v>
      </c>
      <c r="H48" s="570">
        <f t="shared" si="16"/>
        <v>0</v>
      </c>
      <c r="I48" s="570">
        <f t="shared" si="17"/>
        <v>0</v>
      </c>
      <c r="J48" s="570">
        <f>IF(Титульный!$B$23="Общая",2.2,0)</f>
        <v>0</v>
      </c>
      <c r="K48" s="570">
        <f t="shared" si="18"/>
        <v>0</v>
      </c>
      <c r="L48" s="147"/>
      <c r="M48" s="147"/>
      <c r="N48" s="554">
        <f t="shared" si="19"/>
        <v>0</v>
      </c>
      <c r="O48" s="554">
        <f t="shared" si="20"/>
        <v>0</v>
      </c>
      <c r="P48" s="554">
        <f t="shared" si="14"/>
        <v>0</v>
      </c>
      <c r="Q48" s="554">
        <f t="shared" si="21"/>
        <v>0</v>
      </c>
      <c r="R48" s="554">
        <f t="shared" si="22"/>
        <v>0</v>
      </c>
      <c r="S48" s="554">
        <f>IF(Титульный!$B$23="Общая",2.2,0)</f>
        <v>0</v>
      </c>
      <c r="T48" s="554">
        <f t="shared" si="23"/>
        <v>0</v>
      </c>
    </row>
    <row r="49" spans="1:21">
      <c r="A49" s="24"/>
      <c r="B49" s="142"/>
      <c r="C49" s="139"/>
      <c r="D49" s="24"/>
      <c r="E49" s="570">
        <f t="shared" si="12"/>
        <v>0</v>
      </c>
      <c r="F49" s="570">
        <f t="shared" si="15"/>
        <v>0</v>
      </c>
      <c r="G49" s="570">
        <f t="shared" si="13"/>
        <v>0</v>
      </c>
      <c r="H49" s="570">
        <f t="shared" si="16"/>
        <v>0</v>
      </c>
      <c r="I49" s="570">
        <f t="shared" si="17"/>
        <v>0</v>
      </c>
      <c r="J49" s="570">
        <f>IF(Титульный!$B$23="Общая",2.2,0)</f>
        <v>0</v>
      </c>
      <c r="K49" s="570">
        <f t="shared" si="18"/>
        <v>0</v>
      </c>
      <c r="L49" s="147"/>
      <c r="M49" s="147"/>
      <c r="N49" s="554">
        <f t="shared" si="19"/>
        <v>0</v>
      </c>
      <c r="O49" s="554">
        <f t="shared" si="20"/>
        <v>0</v>
      </c>
      <c r="P49" s="554">
        <f t="shared" si="14"/>
        <v>0</v>
      </c>
      <c r="Q49" s="554">
        <f t="shared" si="21"/>
        <v>0</v>
      </c>
      <c r="R49" s="554">
        <f t="shared" si="22"/>
        <v>0</v>
      </c>
      <c r="S49" s="554">
        <f>IF(Титульный!$B$23="Общая",2.2,0)</f>
        <v>0</v>
      </c>
      <c r="T49" s="554">
        <f t="shared" si="23"/>
        <v>0</v>
      </c>
    </row>
    <row r="50" spans="1:21">
      <c r="A50" s="24"/>
      <c r="B50" s="142"/>
      <c r="C50" s="139"/>
      <c r="D50" s="24"/>
      <c r="E50" s="570">
        <f t="shared" ref="E50:E69" si="24">IF(D50=0,0,B50/D50)</f>
        <v>0</v>
      </c>
      <c r="F50" s="570">
        <f>IF(DATEDIF(C50,$F$9,"m")*E50&lt;B50,(B50-DATEDIF(C50,$F$9,"m")*E50),0)</f>
        <v>0</v>
      </c>
      <c r="G50" s="570">
        <f t="shared" ref="G50:G69" si="25">IF(E50*12&lt;F50,E50*12,F50)</f>
        <v>0</v>
      </c>
      <c r="H50" s="570">
        <f>IF(E50*12&gt;F50,0,(F50-12*E50))</f>
        <v>0</v>
      </c>
      <c r="I50" s="570">
        <f>IF(E50=0,0,IF(12*E50&lt;F50,(13*F50-78*E50)/13,(F50*F50/E50-E50*(F50/E50)*0.5*(F50/E50-1))/13))</f>
        <v>0</v>
      </c>
      <c r="J50" s="570">
        <f>IF(Титульный!$B$23="Общая",2.2,0)</f>
        <v>0</v>
      </c>
      <c r="K50" s="570">
        <f>I50*J50/100</f>
        <v>0</v>
      </c>
      <c r="L50" s="147"/>
      <c r="M50" s="147"/>
      <c r="N50" s="554">
        <f>IF(D50=0,0,B50/D50)</f>
        <v>0</v>
      </c>
      <c r="O50" s="554">
        <f>IF(DATEDIF(C50,$O$9,"m")*N50&lt;B50,(B50-DATEDIF(C50,$O$9,"m")*N50),0)</f>
        <v>0</v>
      </c>
      <c r="P50" s="554">
        <f t="shared" ref="P50:P69" si="26">IF(N50*12&lt;O50,E50*12,O50)</f>
        <v>0</v>
      </c>
      <c r="Q50" s="554">
        <f>IF(N50*12&gt;O50,0,(O50-12*N50))</f>
        <v>0</v>
      </c>
      <c r="R50" s="554">
        <f>IF(N50=0,0,IF(12*N50&lt;O50,(13*O50-78*N50)/13,(O50*O50/N50-N50*(O50/N50)*0.5*(O50/N50-1))/13))</f>
        <v>0</v>
      </c>
      <c r="S50" s="554">
        <f>IF(Титульный!$B$23="Общая",2.2,0)</f>
        <v>0</v>
      </c>
      <c r="T50" s="554">
        <f>R50*S50/100</f>
        <v>0</v>
      </c>
    </row>
    <row r="51" spans="1:21">
      <c r="A51" s="24"/>
      <c r="B51" s="142"/>
      <c r="C51" s="139"/>
      <c r="D51" s="24"/>
      <c r="E51" s="570">
        <f t="shared" si="24"/>
        <v>0</v>
      </c>
      <c r="F51" s="570">
        <f t="shared" ref="F51:F69" si="27">IF(DATEDIF(C51,$F$9,"m")*E51&lt;B51,(B51-DATEDIF(C51,$F$9,"m")*E51),0)</f>
        <v>0</v>
      </c>
      <c r="G51" s="570">
        <f t="shared" si="25"/>
        <v>0</v>
      </c>
      <c r="H51" s="570">
        <f t="shared" ref="H51:H69" si="28">IF(E51*12&gt;F51,0,(F51-12*E51))</f>
        <v>0</v>
      </c>
      <c r="I51" s="570">
        <f t="shared" ref="I51:I69" si="29">IF(E51=0,0,IF(12*E51&lt;F51,(13*F51-78*E51)/13,(F51*F51/E51-E51*(F51/E51)*0.5*(F51/E51-1))/13))</f>
        <v>0</v>
      </c>
      <c r="J51" s="570">
        <f>IF(Титульный!$B$23="Общая",2.2,0)</f>
        <v>0</v>
      </c>
      <c r="K51" s="570">
        <f t="shared" ref="K51:K69" si="30">I51*J51/100</f>
        <v>0</v>
      </c>
      <c r="L51" s="147"/>
      <c r="M51" s="147"/>
      <c r="N51" s="554">
        <f t="shared" ref="N51:N69" si="31">IF(D51=0,0,B51/D51)</f>
        <v>0</v>
      </c>
      <c r="O51" s="554">
        <f t="shared" ref="O51:O69" si="32">IF(DATEDIF(C51,$O$9,"m")*N51&lt;B51,(B51-DATEDIF(C51,$O$9,"m")*N51),0)</f>
        <v>0</v>
      </c>
      <c r="P51" s="554">
        <f t="shared" si="26"/>
        <v>0</v>
      </c>
      <c r="Q51" s="554">
        <f t="shared" ref="Q51:Q69" si="33">IF(N51*12&gt;O51,0,(O51-12*N51))</f>
        <v>0</v>
      </c>
      <c r="R51" s="554">
        <f t="shared" ref="R51:R69" si="34">IF(N51=0,0,IF(12*N51&lt;O51,(13*O51-78*N51)/13,(O51*O51/N51-N51*(O51/N51)*0.5*(O51/N51-1))/13))</f>
        <v>0</v>
      </c>
      <c r="S51" s="554">
        <f>IF(Титульный!$B$23="Общая",2.2,0)</f>
        <v>0</v>
      </c>
      <c r="T51" s="554">
        <f t="shared" ref="T51:T69" si="35">R51*S51/100</f>
        <v>0</v>
      </c>
    </row>
    <row r="52" spans="1:21">
      <c r="A52" s="24"/>
      <c r="B52" s="142"/>
      <c r="C52" s="139"/>
      <c r="D52" s="24"/>
      <c r="E52" s="570">
        <f t="shared" si="24"/>
        <v>0</v>
      </c>
      <c r="F52" s="570">
        <f t="shared" si="27"/>
        <v>0</v>
      </c>
      <c r="G52" s="570">
        <f t="shared" si="25"/>
        <v>0</v>
      </c>
      <c r="H52" s="570">
        <f t="shared" si="28"/>
        <v>0</v>
      </c>
      <c r="I52" s="570">
        <f t="shared" si="29"/>
        <v>0</v>
      </c>
      <c r="J52" s="570">
        <f>IF(Титульный!$B$23="Общая",2.2,0)</f>
        <v>0</v>
      </c>
      <c r="K52" s="570">
        <f t="shared" si="30"/>
        <v>0</v>
      </c>
      <c r="L52" s="147"/>
      <c r="M52" s="147"/>
      <c r="N52" s="554">
        <f t="shared" si="31"/>
        <v>0</v>
      </c>
      <c r="O52" s="554">
        <f t="shared" si="32"/>
        <v>0</v>
      </c>
      <c r="P52" s="554">
        <f t="shared" si="26"/>
        <v>0</v>
      </c>
      <c r="Q52" s="554">
        <f t="shared" si="33"/>
        <v>0</v>
      </c>
      <c r="R52" s="554">
        <f t="shared" si="34"/>
        <v>0</v>
      </c>
      <c r="S52" s="554">
        <f>IF(Титульный!$B$23="Общая",2.2,0)</f>
        <v>0</v>
      </c>
      <c r="T52" s="554">
        <f t="shared" si="35"/>
        <v>0</v>
      </c>
    </row>
    <row r="53" spans="1:21">
      <c r="A53" s="24"/>
      <c r="B53" s="142"/>
      <c r="C53" s="139"/>
      <c r="D53" s="24"/>
      <c r="E53" s="570">
        <f t="shared" si="24"/>
        <v>0</v>
      </c>
      <c r="F53" s="570">
        <f t="shared" si="27"/>
        <v>0</v>
      </c>
      <c r="G53" s="570">
        <f t="shared" si="25"/>
        <v>0</v>
      </c>
      <c r="H53" s="570">
        <f t="shared" si="28"/>
        <v>0</v>
      </c>
      <c r="I53" s="570">
        <f t="shared" si="29"/>
        <v>0</v>
      </c>
      <c r="J53" s="570">
        <f>IF(Титульный!$B$23="Общая",2.2,0)</f>
        <v>0</v>
      </c>
      <c r="K53" s="570">
        <f t="shared" si="30"/>
        <v>0</v>
      </c>
      <c r="L53" s="147"/>
      <c r="M53" s="147"/>
      <c r="N53" s="554">
        <f t="shared" si="31"/>
        <v>0</v>
      </c>
      <c r="O53" s="554">
        <f t="shared" si="32"/>
        <v>0</v>
      </c>
      <c r="P53" s="554">
        <f t="shared" si="26"/>
        <v>0</v>
      </c>
      <c r="Q53" s="554">
        <f t="shared" si="33"/>
        <v>0</v>
      </c>
      <c r="R53" s="554">
        <f t="shared" si="34"/>
        <v>0</v>
      </c>
      <c r="S53" s="554">
        <f>IF(Титульный!$B$23="Общая",2.2,0)</f>
        <v>0</v>
      </c>
      <c r="T53" s="554">
        <f t="shared" si="35"/>
        <v>0</v>
      </c>
      <c r="U53" s="91" t="s">
        <v>539</v>
      </c>
    </row>
    <row r="54" spans="1:21">
      <c r="A54" s="24"/>
      <c r="B54" s="142"/>
      <c r="C54" s="139"/>
      <c r="D54" s="24"/>
      <c r="E54" s="570">
        <f t="shared" si="24"/>
        <v>0</v>
      </c>
      <c r="F54" s="570">
        <f t="shared" si="27"/>
        <v>0</v>
      </c>
      <c r="G54" s="570">
        <f t="shared" si="25"/>
        <v>0</v>
      </c>
      <c r="H54" s="570">
        <f t="shared" si="28"/>
        <v>0</v>
      </c>
      <c r="I54" s="570">
        <f t="shared" si="29"/>
        <v>0</v>
      </c>
      <c r="J54" s="570">
        <f>IF(Титульный!$B$23="Общая",2.2,0)</f>
        <v>0</v>
      </c>
      <c r="K54" s="570">
        <f t="shared" si="30"/>
        <v>0</v>
      </c>
      <c r="L54" s="147"/>
      <c r="M54" s="147"/>
      <c r="N54" s="554">
        <f t="shared" si="31"/>
        <v>0</v>
      </c>
      <c r="O54" s="554">
        <f t="shared" si="32"/>
        <v>0</v>
      </c>
      <c r="P54" s="554">
        <f t="shared" si="26"/>
        <v>0</v>
      </c>
      <c r="Q54" s="554">
        <f t="shared" si="33"/>
        <v>0</v>
      </c>
      <c r="R54" s="554">
        <f t="shared" si="34"/>
        <v>0</v>
      </c>
      <c r="S54" s="554">
        <f>IF(Титульный!$B$23="Общая",2.2,0)</f>
        <v>0</v>
      </c>
      <c r="T54" s="554">
        <f t="shared" si="35"/>
        <v>0</v>
      </c>
    </row>
    <row r="55" spans="1:21">
      <c r="A55" s="24"/>
      <c r="B55" s="142"/>
      <c r="C55" s="139"/>
      <c r="D55" s="24"/>
      <c r="E55" s="570">
        <f t="shared" si="24"/>
        <v>0</v>
      </c>
      <c r="F55" s="570">
        <f t="shared" si="27"/>
        <v>0</v>
      </c>
      <c r="G55" s="570">
        <f t="shared" si="25"/>
        <v>0</v>
      </c>
      <c r="H55" s="570">
        <f t="shared" si="28"/>
        <v>0</v>
      </c>
      <c r="I55" s="570">
        <f t="shared" si="29"/>
        <v>0</v>
      </c>
      <c r="J55" s="570">
        <f>IF(Титульный!$B$23="Общая",2.2,0)</f>
        <v>0</v>
      </c>
      <c r="K55" s="570">
        <f t="shared" si="30"/>
        <v>0</v>
      </c>
      <c r="L55" s="147"/>
      <c r="M55" s="147"/>
      <c r="N55" s="554">
        <f t="shared" si="31"/>
        <v>0</v>
      </c>
      <c r="O55" s="554">
        <f t="shared" si="32"/>
        <v>0</v>
      </c>
      <c r="P55" s="554">
        <f t="shared" si="26"/>
        <v>0</v>
      </c>
      <c r="Q55" s="554">
        <f t="shared" si="33"/>
        <v>0</v>
      </c>
      <c r="R55" s="554">
        <f t="shared" si="34"/>
        <v>0</v>
      </c>
      <c r="S55" s="554">
        <f>IF(Титульный!$B$23="Общая",2.2,0)</f>
        <v>0</v>
      </c>
      <c r="T55" s="554">
        <f t="shared" si="35"/>
        <v>0</v>
      </c>
    </row>
    <row r="56" spans="1:21">
      <c r="A56" s="24"/>
      <c r="B56" s="142"/>
      <c r="C56" s="139"/>
      <c r="D56" s="24"/>
      <c r="E56" s="570">
        <f t="shared" si="24"/>
        <v>0</v>
      </c>
      <c r="F56" s="570">
        <f t="shared" si="27"/>
        <v>0</v>
      </c>
      <c r="G56" s="570">
        <f t="shared" si="25"/>
        <v>0</v>
      </c>
      <c r="H56" s="570">
        <f t="shared" si="28"/>
        <v>0</v>
      </c>
      <c r="I56" s="570">
        <f t="shared" si="29"/>
        <v>0</v>
      </c>
      <c r="J56" s="570">
        <f>IF(Титульный!$B$23="Общая",2.2,0)</f>
        <v>0</v>
      </c>
      <c r="K56" s="570">
        <f t="shared" si="30"/>
        <v>0</v>
      </c>
      <c r="L56" s="147"/>
      <c r="M56" s="147"/>
      <c r="N56" s="554">
        <f t="shared" si="31"/>
        <v>0</v>
      </c>
      <c r="O56" s="554">
        <f t="shared" si="32"/>
        <v>0</v>
      </c>
      <c r="P56" s="554">
        <f t="shared" si="26"/>
        <v>0</v>
      </c>
      <c r="Q56" s="554">
        <f t="shared" si="33"/>
        <v>0</v>
      </c>
      <c r="R56" s="554">
        <f t="shared" si="34"/>
        <v>0</v>
      </c>
      <c r="S56" s="554">
        <f>IF(Титульный!$B$23="Общая",2.2,0)</f>
        <v>0</v>
      </c>
      <c r="T56" s="554">
        <f t="shared" si="35"/>
        <v>0</v>
      </c>
    </row>
    <row r="57" spans="1:21">
      <c r="A57" s="24"/>
      <c r="B57" s="142"/>
      <c r="C57" s="139"/>
      <c r="D57" s="24"/>
      <c r="E57" s="570">
        <f t="shared" si="24"/>
        <v>0</v>
      </c>
      <c r="F57" s="570">
        <f t="shared" si="27"/>
        <v>0</v>
      </c>
      <c r="G57" s="570">
        <f t="shared" si="25"/>
        <v>0</v>
      </c>
      <c r="H57" s="570">
        <f t="shared" si="28"/>
        <v>0</v>
      </c>
      <c r="I57" s="570">
        <f t="shared" si="29"/>
        <v>0</v>
      </c>
      <c r="J57" s="570">
        <f>IF(Титульный!$B$23="Общая",2.2,0)</f>
        <v>0</v>
      </c>
      <c r="K57" s="570">
        <f t="shared" si="30"/>
        <v>0</v>
      </c>
      <c r="L57" s="147"/>
      <c r="M57" s="147"/>
      <c r="N57" s="554">
        <f t="shared" si="31"/>
        <v>0</v>
      </c>
      <c r="O57" s="554">
        <f t="shared" si="32"/>
        <v>0</v>
      </c>
      <c r="P57" s="554">
        <f t="shared" si="26"/>
        <v>0</v>
      </c>
      <c r="Q57" s="554">
        <f t="shared" si="33"/>
        <v>0</v>
      </c>
      <c r="R57" s="554">
        <f t="shared" si="34"/>
        <v>0</v>
      </c>
      <c r="S57" s="554">
        <f>IF(Титульный!$B$23="Общая",2.2,0)</f>
        <v>0</v>
      </c>
      <c r="T57" s="554">
        <f t="shared" si="35"/>
        <v>0</v>
      </c>
    </row>
    <row r="58" spans="1:21">
      <c r="A58" s="24"/>
      <c r="B58" s="142"/>
      <c r="C58" s="139"/>
      <c r="D58" s="24"/>
      <c r="E58" s="570">
        <f t="shared" si="24"/>
        <v>0</v>
      </c>
      <c r="F58" s="570">
        <f t="shared" si="27"/>
        <v>0</v>
      </c>
      <c r="G58" s="570">
        <f t="shared" si="25"/>
        <v>0</v>
      </c>
      <c r="H58" s="570">
        <f t="shared" si="28"/>
        <v>0</v>
      </c>
      <c r="I58" s="570">
        <f t="shared" si="29"/>
        <v>0</v>
      </c>
      <c r="J58" s="570">
        <f>IF(Титульный!$B$23="Общая",2.2,0)</f>
        <v>0</v>
      </c>
      <c r="K58" s="570">
        <f t="shared" si="30"/>
        <v>0</v>
      </c>
      <c r="L58" s="147"/>
      <c r="M58" s="147"/>
      <c r="N58" s="554">
        <f t="shared" si="31"/>
        <v>0</v>
      </c>
      <c r="O58" s="554">
        <f t="shared" si="32"/>
        <v>0</v>
      </c>
      <c r="P58" s="554">
        <f t="shared" si="26"/>
        <v>0</v>
      </c>
      <c r="Q58" s="554">
        <f t="shared" si="33"/>
        <v>0</v>
      </c>
      <c r="R58" s="554">
        <f t="shared" si="34"/>
        <v>0</v>
      </c>
      <c r="S58" s="554">
        <f>IF(Титульный!$B$23="Общая",2.2,0)</f>
        <v>0</v>
      </c>
      <c r="T58" s="554">
        <f t="shared" si="35"/>
        <v>0</v>
      </c>
    </row>
    <row r="59" spans="1:21">
      <c r="A59" s="24"/>
      <c r="B59" s="142"/>
      <c r="C59" s="139"/>
      <c r="D59" s="24"/>
      <c r="E59" s="570">
        <f t="shared" si="24"/>
        <v>0</v>
      </c>
      <c r="F59" s="570">
        <f t="shared" si="27"/>
        <v>0</v>
      </c>
      <c r="G59" s="570">
        <f t="shared" si="25"/>
        <v>0</v>
      </c>
      <c r="H59" s="570">
        <f t="shared" si="28"/>
        <v>0</v>
      </c>
      <c r="I59" s="570">
        <f t="shared" si="29"/>
        <v>0</v>
      </c>
      <c r="J59" s="570">
        <f>IF(Титульный!$B$23="Общая",2.2,0)</f>
        <v>0</v>
      </c>
      <c r="K59" s="570">
        <f t="shared" si="30"/>
        <v>0</v>
      </c>
      <c r="L59" s="147"/>
      <c r="M59" s="147"/>
      <c r="N59" s="554">
        <f t="shared" si="31"/>
        <v>0</v>
      </c>
      <c r="O59" s="554">
        <f t="shared" si="32"/>
        <v>0</v>
      </c>
      <c r="P59" s="554">
        <f t="shared" si="26"/>
        <v>0</v>
      </c>
      <c r="Q59" s="554">
        <f t="shared" si="33"/>
        <v>0</v>
      </c>
      <c r="R59" s="554">
        <f t="shared" si="34"/>
        <v>0</v>
      </c>
      <c r="S59" s="554">
        <f>IF(Титульный!$B$23="Общая",2.2,0)</f>
        <v>0</v>
      </c>
      <c r="T59" s="554">
        <f t="shared" si="35"/>
        <v>0</v>
      </c>
    </row>
    <row r="60" spans="1:21">
      <c r="A60" s="24"/>
      <c r="B60" s="142"/>
      <c r="C60" s="139"/>
      <c r="D60" s="24"/>
      <c r="E60" s="570">
        <f t="shared" si="24"/>
        <v>0</v>
      </c>
      <c r="F60" s="570">
        <f t="shared" si="27"/>
        <v>0</v>
      </c>
      <c r="G60" s="570">
        <f t="shared" si="25"/>
        <v>0</v>
      </c>
      <c r="H60" s="570">
        <f t="shared" si="28"/>
        <v>0</v>
      </c>
      <c r="I60" s="570">
        <f t="shared" si="29"/>
        <v>0</v>
      </c>
      <c r="J60" s="570">
        <f>IF(Титульный!$B$23="Общая",2.2,0)</f>
        <v>0</v>
      </c>
      <c r="K60" s="570">
        <f t="shared" si="30"/>
        <v>0</v>
      </c>
      <c r="L60" s="147"/>
      <c r="M60" s="147"/>
      <c r="N60" s="554">
        <f t="shared" si="31"/>
        <v>0</v>
      </c>
      <c r="O60" s="554">
        <f t="shared" si="32"/>
        <v>0</v>
      </c>
      <c r="P60" s="554">
        <f t="shared" si="26"/>
        <v>0</v>
      </c>
      <c r="Q60" s="554">
        <f t="shared" si="33"/>
        <v>0</v>
      </c>
      <c r="R60" s="554">
        <f t="shared" si="34"/>
        <v>0</v>
      </c>
      <c r="S60" s="554">
        <f>IF(Титульный!$B$23="Общая",2.2,0)</f>
        <v>0</v>
      </c>
      <c r="T60" s="554">
        <f t="shared" si="35"/>
        <v>0</v>
      </c>
    </row>
    <row r="61" spans="1:21">
      <c r="A61" s="24"/>
      <c r="B61" s="142"/>
      <c r="C61" s="139"/>
      <c r="D61" s="24"/>
      <c r="E61" s="570">
        <f t="shared" si="24"/>
        <v>0</v>
      </c>
      <c r="F61" s="570">
        <f t="shared" si="27"/>
        <v>0</v>
      </c>
      <c r="G61" s="570">
        <f t="shared" si="25"/>
        <v>0</v>
      </c>
      <c r="H61" s="570">
        <f t="shared" si="28"/>
        <v>0</v>
      </c>
      <c r="I61" s="570">
        <f t="shared" si="29"/>
        <v>0</v>
      </c>
      <c r="J61" s="570">
        <f>IF(Титульный!$B$23="Общая",2.2,0)</f>
        <v>0</v>
      </c>
      <c r="K61" s="570">
        <f t="shared" si="30"/>
        <v>0</v>
      </c>
      <c r="L61" s="147"/>
      <c r="M61" s="147"/>
      <c r="N61" s="554">
        <f t="shared" si="31"/>
        <v>0</v>
      </c>
      <c r="O61" s="554">
        <f t="shared" si="32"/>
        <v>0</v>
      </c>
      <c r="P61" s="554">
        <f t="shared" si="26"/>
        <v>0</v>
      </c>
      <c r="Q61" s="554">
        <f t="shared" si="33"/>
        <v>0</v>
      </c>
      <c r="R61" s="554">
        <f t="shared" si="34"/>
        <v>0</v>
      </c>
      <c r="S61" s="554">
        <f>IF(Титульный!$B$23="Общая",2.2,0)</f>
        <v>0</v>
      </c>
      <c r="T61" s="554">
        <f t="shared" si="35"/>
        <v>0</v>
      </c>
    </row>
    <row r="62" spans="1:21">
      <c r="A62" s="24"/>
      <c r="B62" s="142"/>
      <c r="C62" s="139"/>
      <c r="D62" s="24"/>
      <c r="E62" s="570">
        <f t="shared" si="24"/>
        <v>0</v>
      </c>
      <c r="F62" s="570">
        <f t="shared" si="27"/>
        <v>0</v>
      </c>
      <c r="G62" s="570">
        <f t="shared" si="25"/>
        <v>0</v>
      </c>
      <c r="H62" s="570">
        <f t="shared" si="28"/>
        <v>0</v>
      </c>
      <c r="I62" s="570">
        <f t="shared" si="29"/>
        <v>0</v>
      </c>
      <c r="J62" s="570">
        <f>IF(Титульный!$B$23="Общая",2.2,0)</f>
        <v>0</v>
      </c>
      <c r="K62" s="570">
        <f t="shared" si="30"/>
        <v>0</v>
      </c>
      <c r="L62" s="147"/>
      <c r="M62" s="147"/>
      <c r="N62" s="554">
        <f t="shared" si="31"/>
        <v>0</v>
      </c>
      <c r="O62" s="554">
        <f t="shared" si="32"/>
        <v>0</v>
      </c>
      <c r="P62" s="554">
        <f t="shared" si="26"/>
        <v>0</v>
      </c>
      <c r="Q62" s="554">
        <f t="shared" si="33"/>
        <v>0</v>
      </c>
      <c r="R62" s="554">
        <f t="shared" si="34"/>
        <v>0</v>
      </c>
      <c r="S62" s="554">
        <f>IF(Титульный!$B$23="Общая",2.2,0)</f>
        <v>0</v>
      </c>
      <c r="T62" s="554">
        <f t="shared" si="35"/>
        <v>0</v>
      </c>
    </row>
    <row r="63" spans="1:21">
      <c r="A63" s="24"/>
      <c r="B63" s="142"/>
      <c r="C63" s="139"/>
      <c r="D63" s="24"/>
      <c r="E63" s="570">
        <f t="shared" si="24"/>
        <v>0</v>
      </c>
      <c r="F63" s="570">
        <f t="shared" si="27"/>
        <v>0</v>
      </c>
      <c r="G63" s="570">
        <f t="shared" si="25"/>
        <v>0</v>
      </c>
      <c r="H63" s="570">
        <f t="shared" si="28"/>
        <v>0</v>
      </c>
      <c r="I63" s="570">
        <f t="shared" si="29"/>
        <v>0</v>
      </c>
      <c r="J63" s="570">
        <f>IF(Титульный!$B$23="Общая",2.2,0)</f>
        <v>0</v>
      </c>
      <c r="K63" s="570">
        <f t="shared" si="30"/>
        <v>0</v>
      </c>
      <c r="L63" s="147"/>
      <c r="M63" s="147"/>
      <c r="N63" s="554">
        <f t="shared" si="31"/>
        <v>0</v>
      </c>
      <c r="O63" s="554">
        <f t="shared" si="32"/>
        <v>0</v>
      </c>
      <c r="P63" s="554">
        <f t="shared" si="26"/>
        <v>0</v>
      </c>
      <c r="Q63" s="554">
        <f t="shared" si="33"/>
        <v>0</v>
      </c>
      <c r="R63" s="554">
        <f t="shared" si="34"/>
        <v>0</v>
      </c>
      <c r="S63" s="554">
        <f>IF(Титульный!$B$23="Общая",2.2,0)</f>
        <v>0</v>
      </c>
      <c r="T63" s="554">
        <f t="shared" si="35"/>
        <v>0</v>
      </c>
    </row>
    <row r="64" spans="1:21">
      <c r="A64" s="24"/>
      <c r="B64" s="142"/>
      <c r="C64" s="139"/>
      <c r="D64" s="24"/>
      <c r="E64" s="570">
        <f t="shared" si="24"/>
        <v>0</v>
      </c>
      <c r="F64" s="570">
        <f t="shared" si="27"/>
        <v>0</v>
      </c>
      <c r="G64" s="570">
        <f t="shared" si="25"/>
        <v>0</v>
      </c>
      <c r="H64" s="570">
        <f t="shared" si="28"/>
        <v>0</v>
      </c>
      <c r="I64" s="570">
        <f t="shared" si="29"/>
        <v>0</v>
      </c>
      <c r="J64" s="570">
        <f>IF(Титульный!$B$23="Общая",2.2,0)</f>
        <v>0</v>
      </c>
      <c r="K64" s="570">
        <f t="shared" si="30"/>
        <v>0</v>
      </c>
      <c r="L64" s="147"/>
      <c r="M64" s="147"/>
      <c r="N64" s="554">
        <f t="shared" si="31"/>
        <v>0</v>
      </c>
      <c r="O64" s="554">
        <f t="shared" si="32"/>
        <v>0</v>
      </c>
      <c r="P64" s="554">
        <f t="shared" si="26"/>
        <v>0</v>
      </c>
      <c r="Q64" s="554">
        <f t="shared" si="33"/>
        <v>0</v>
      </c>
      <c r="R64" s="554">
        <f t="shared" si="34"/>
        <v>0</v>
      </c>
      <c r="S64" s="554">
        <f>IF(Титульный!$B$23="Общая",2.2,0)</f>
        <v>0</v>
      </c>
      <c r="T64" s="554">
        <f t="shared" si="35"/>
        <v>0</v>
      </c>
    </row>
    <row r="65" spans="1:20">
      <c r="A65" s="24"/>
      <c r="B65" s="142"/>
      <c r="C65" s="139"/>
      <c r="D65" s="24"/>
      <c r="E65" s="570">
        <f t="shared" si="24"/>
        <v>0</v>
      </c>
      <c r="F65" s="570">
        <f t="shared" si="27"/>
        <v>0</v>
      </c>
      <c r="G65" s="570">
        <f t="shared" si="25"/>
        <v>0</v>
      </c>
      <c r="H65" s="570">
        <f t="shared" si="28"/>
        <v>0</v>
      </c>
      <c r="I65" s="570">
        <f t="shared" si="29"/>
        <v>0</v>
      </c>
      <c r="J65" s="570">
        <f>IF(Титульный!$B$23="Общая",2.2,0)</f>
        <v>0</v>
      </c>
      <c r="K65" s="570">
        <f t="shared" si="30"/>
        <v>0</v>
      </c>
      <c r="L65" s="147"/>
      <c r="M65" s="147"/>
      <c r="N65" s="554">
        <f t="shared" si="31"/>
        <v>0</v>
      </c>
      <c r="O65" s="554">
        <f t="shared" si="32"/>
        <v>0</v>
      </c>
      <c r="P65" s="554">
        <f t="shared" si="26"/>
        <v>0</v>
      </c>
      <c r="Q65" s="554">
        <f t="shared" si="33"/>
        <v>0</v>
      </c>
      <c r="R65" s="554">
        <f t="shared" si="34"/>
        <v>0</v>
      </c>
      <c r="S65" s="554">
        <f>IF(Титульный!$B$23="Общая",2.2,0)</f>
        <v>0</v>
      </c>
      <c r="T65" s="554">
        <f t="shared" si="35"/>
        <v>0</v>
      </c>
    </row>
    <row r="66" spans="1:20">
      <c r="A66" s="24"/>
      <c r="B66" s="142"/>
      <c r="C66" s="139"/>
      <c r="D66" s="24"/>
      <c r="E66" s="570">
        <f t="shared" si="24"/>
        <v>0</v>
      </c>
      <c r="F66" s="570">
        <f t="shared" si="27"/>
        <v>0</v>
      </c>
      <c r="G66" s="570">
        <f t="shared" si="25"/>
        <v>0</v>
      </c>
      <c r="H66" s="570">
        <f t="shared" si="28"/>
        <v>0</v>
      </c>
      <c r="I66" s="570">
        <f t="shared" si="29"/>
        <v>0</v>
      </c>
      <c r="J66" s="570">
        <f>IF(Титульный!$B$23="Общая",2.2,0)</f>
        <v>0</v>
      </c>
      <c r="K66" s="570">
        <f t="shared" si="30"/>
        <v>0</v>
      </c>
      <c r="L66" s="147"/>
      <c r="M66" s="147"/>
      <c r="N66" s="554">
        <f t="shared" si="31"/>
        <v>0</v>
      </c>
      <c r="O66" s="554">
        <f t="shared" si="32"/>
        <v>0</v>
      </c>
      <c r="P66" s="554">
        <f t="shared" si="26"/>
        <v>0</v>
      </c>
      <c r="Q66" s="554">
        <f t="shared" si="33"/>
        <v>0</v>
      </c>
      <c r="R66" s="554">
        <f t="shared" si="34"/>
        <v>0</v>
      </c>
      <c r="S66" s="554">
        <f>IF(Титульный!$B$23="Общая",2.2,0)</f>
        <v>0</v>
      </c>
      <c r="T66" s="554">
        <f t="shared" si="35"/>
        <v>0</v>
      </c>
    </row>
    <row r="67" spans="1:20">
      <c r="A67" s="24"/>
      <c r="B67" s="142"/>
      <c r="C67" s="139"/>
      <c r="D67" s="24"/>
      <c r="E67" s="570">
        <f t="shared" si="24"/>
        <v>0</v>
      </c>
      <c r="F67" s="570">
        <f t="shared" si="27"/>
        <v>0</v>
      </c>
      <c r="G67" s="570">
        <f t="shared" si="25"/>
        <v>0</v>
      </c>
      <c r="H67" s="570">
        <f t="shared" si="28"/>
        <v>0</v>
      </c>
      <c r="I67" s="570">
        <f t="shared" si="29"/>
        <v>0</v>
      </c>
      <c r="J67" s="570">
        <f>IF(Титульный!$B$23="Общая",2.2,0)</f>
        <v>0</v>
      </c>
      <c r="K67" s="570">
        <f t="shared" si="30"/>
        <v>0</v>
      </c>
      <c r="L67" s="147"/>
      <c r="M67" s="147"/>
      <c r="N67" s="554">
        <f t="shared" si="31"/>
        <v>0</v>
      </c>
      <c r="O67" s="554">
        <f t="shared" si="32"/>
        <v>0</v>
      </c>
      <c r="P67" s="554">
        <f t="shared" si="26"/>
        <v>0</v>
      </c>
      <c r="Q67" s="554">
        <f t="shared" si="33"/>
        <v>0</v>
      </c>
      <c r="R67" s="554">
        <f t="shared" si="34"/>
        <v>0</v>
      </c>
      <c r="S67" s="554">
        <f>IF(Титульный!$B$23="Общая",2.2,0)</f>
        <v>0</v>
      </c>
      <c r="T67" s="554">
        <f t="shared" si="35"/>
        <v>0</v>
      </c>
    </row>
    <row r="68" spans="1:20">
      <c r="A68" s="24"/>
      <c r="B68" s="142"/>
      <c r="C68" s="139"/>
      <c r="D68" s="24"/>
      <c r="E68" s="570">
        <f t="shared" si="24"/>
        <v>0</v>
      </c>
      <c r="F68" s="570">
        <f t="shared" si="27"/>
        <v>0</v>
      </c>
      <c r="G68" s="570">
        <f t="shared" si="25"/>
        <v>0</v>
      </c>
      <c r="H68" s="570">
        <f t="shared" si="28"/>
        <v>0</v>
      </c>
      <c r="I68" s="570">
        <f t="shared" si="29"/>
        <v>0</v>
      </c>
      <c r="J68" s="570">
        <f>IF(Титульный!$B$23="Общая",2.2,0)</f>
        <v>0</v>
      </c>
      <c r="K68" s="570">
        <f t="shared" si="30"/>
        <v>0</v>
      </c>
      <c r="L68" s="147"/>
      <c r="M68" s="147"/>
      <c r="N68" s="554">
        <f t="shared" si="31"/>
        <v>0</v>
      </c>
      <c r="O68" s="554">
        <f t="shared" si="32"/>
        <v>0</v>
      </c>
      <c r="P68" s="554">
        <f t="shared" si="26"/>
        <v>0</v>
      </c>
      <c r="Q68" s="554">
        <f t="shared" si="33"/>
        <v>0</v>
      </c>
      <c r="R68" s="554">
        <f t="shared" si="34"/>
        <v>0</v>
      </c>
      <c r="S68" s="554">
        <f>IF(Титульный!$B$23="Общая",2.2,0)</f>
        <v>0</v>
      </c>
      <c r="T68" s="554">
        <f t="shared" si="35"/>
        <v>0</v>
      </c>
    </row>
    <row r="69" spans="1:20">
      <c r="A69" s="24"/>
      <c r="B69" s="142"/>
      <c r="C69" s="139"/>
      <c r="D69" s="24"/>
      <c r="E69" s="570">
        <f t="shared" si="24"/>
        <v>0</v>
      </c>
      <c r="F69" s="570">
        <f t="shared" si="27"/>
        <v>0</v>
      </c>
      <c r="G69" s="570">
        <f t="shared" si="25"/>
        <v>0</v>
      </c>
      <c r="H69" s="570">
        <f t="shared" si="28"/>
        <v>0</v>
      </c>
      <c r="I69" s="570">
        <f t="shared" si="29"/>
        <v>0</v>
      </c>
      <c r="J69" s="570">
        <f>IF(Титульный!$B$23="Общая",2.2,0)</f>
        <v>0</v>
      </c>
      <c r="K69" s="570">
        <f t="shared" si="30"/>
        <v>0</v>
      </c>
      <c r="L69" s="147"/>
      <c r="M69" s="147"/>
      <c r="N69" s="554">
        <f t="shared" si="31"/>
        <v>0</v>
      </c>
      <c r="O69" s="554">
        <f t="shared" si="32"/>
        <v>0</v>
      </c>
      <c r="P69" s="554">
        <f t="shared" si="26"/>
        <v>0</v>
      </c>
      <c r="Q69" s="554">
        <f t="shared" si="33"/>
        <v>0</v>
      </c>
      <c r="R69" s="554">
        <f t="shared" si="34"/>
        <v>0</v>
      </c>
      <c r="S69" s="554">
        <f>IF(Титульный!$B$23="Общая",2.2,0)</f>
        <v>0</v>
      </c>
      <c r="T69" s="554">
        <f t="shared" si="35"/>
        <v>0</v>
      </c>
    </row>
    <row r="70" spans="1:20" ht="33" customHeight="1">
      <c r="A70" s="569" t="s">
        <v>570</v>
      </c>
      <c r="B70" s="555">
        <f>SUM(B10:B69)</f>
        <v>0</v>
      </c>
      <c r="C70" s="556" t="s">
        <v>480</v>
      </c>
      <c r="D70" s="556" t="s">
        <v>480</v>
      </c>
      <c r="E70" s="555">
        <f t="shared" ref="E70:I70" si="36">SUM(E10:E69)</f>
        <v>0</v>
      </c>
      <c r="F70" s="555">
        <f t="shared" si="36"/>
        <v>0</v>
      </c>
      <c r="G70" s="555">
        <f t="shared" si="36"/>
        <v>0</v>
      </c>
      <c r="H70" s="555">
        <f t="shared" si="36"/>
        <v>0</v>
      </c>
      <c r="I70" s="555">
        <f t="shared" si="36"/>
        <v>0</v>
      </c>
      <c r="J70" s="556"/>
      <c r="K70" s="555">
        <f>SUM(K10:K69)</f>
        <v>0</v>
      </c>
      <c r="L70" s="555">
        <f t="shared" ref="L70:R70" si="37">SUM(L10:L69)</f>
        <v>0</v>
      </c>
      <c r="M70" s="555">
        <f t="shared" si="37"/>
        <v>0</v>
      </c>
      <c r="N70" s="555">
        <f t="shared" si="37"/>
        <v>0</v>
      </c>
      <c r="O70" s="555">
        <f t="shared" si="37"/>
        <v>0</v>
      </c>
      <c r="P70" s="555">
        <f t="shared" si="37"/>
        <v>0</v>
      </c>
      <c r="Q70" s="555">
        <f t="shared" si="37"/>
        <v>0</v>
      </c>
      <c r="R70" s="555">
        <f t="shared" si="37"/>
        <v>0</v>
      </c>
      <c r="S70" s="556"/>
      <c r="T70" s="555">
        <f>SUM(T10:T69)</f>
        <v>0</v>
      </c>
    </row>
    <row r="71" spans="1:20">
      <c r="L71" s="1249">
        <f>IF(Титульный!B17="2016-2018",L70-НВВ2017!E38,L70-'НВВ базовый расчет'!H49)</f>
        <v>0</v>
      </c>
      <c r="M71" s="1249">
        <f>IF(Титульный!B17="2016-2018",M70-НВВ2017!E26,M70-'НВВ базовый расчет'!H37)</f>
        <v>0</v>
      </c>
    </row>
  </sheetData>
  <sheetProtection password="F66E" sheet="1" objects="1" scenarios="1" formatCells="0" formatColumns="0" formatRows="0" insertRows="0"/>
  <mergeCells count="25">
    <mergeCell ref="S8:S9"/>
    <mergeCell ref="T8:T9"/>
    <mergeCell ref="N6:N9"/>
    <mergeCell ref="O6:T6"/>
    <mergeCell ref="F7:K7"/>
    <mergeCell ref="O7:T7"/>
    <mergeCell ref="G8:G9"/>
    <mergeCell ref="I8:I9"/>
    <mergeCell ref="J8:J9"/>
    <mergeCell ref="K8:K9"/>
    <mergeCell ref="P8:P9"/>
    <mergeCell ref="R8:R9"/>
    <mergeCell ref="L6:M6"/>
    <mergeCell ref="L7:M7"/>
    <mergeCell ref="L8:L9"/>
    <mergeCell ref="M8:M9"/>
    <mergeCell ref="A1:K1"/>
    <mergeCell ref="A2:K2"/>
    <mergeCell ref="A3:K3"/>
    <mergeCell ref="A6:A9"/>
    <mergeCell ref="B6:B9"/>
    <mergeCell ref="C6:C9"/>
    <mergeCell ref="D6:D9"/>
    <mergeCell ref="E6:E9"/>
    <mergeCell ref="F6:K6"/>
  </mergeCells>
  <printOptions horizontalCentered="1"/>
  <pageMargins left="0.39370078740157483" right="0.19685039370078741" top="0.47" bottom="0.36" header="0.26" footer="0.17"/>
  <pageSetup paperSize="9" scale="44" orientation="landscape" verticalDpi="300" r:id="rId1"/>
  <headerFooter alignWithMargins="0">
    <oddHeader>&amp;RПриложение № 11.1 "Имущество"</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sqref="A1:E1"/>
    </sheetView>
  </sheetViews>
  <sheetFormatPr defaultColWidth="10.28515625" defaultRowHeight="15.75"/>
  <cols>
    <col min="1" max="1" width="8.42578125" style="3" customWidth="1"/>
    <col min="2" max="2" width="42" style="3" customWidth="1"/>
    <col min="3" max="3" width="15.7109375" style="3" customWidth="1"/>
    <col min="4" max="5" width="13.7109375" style="3" customWidth="1"/>
    <col min="6" max="9" width="14.85546875" style="3" customWidth="1"/>
    <col min="10" max="10" width="8.42578125" style="3" hidden="1" customWidth="1"/>
    <col min="11" max="11" width="42" style="3" hidden="1" customWidth="1"/>
    <col min="12" max="12" width="15.7109375" style="3" hidden="1" customWidth="1"/>
    <col min="13" max="14" width="13.7109375" style="3" hidden="1" customWidth="1"/>
    <col min="15" max="15" width="0" style="3" hidden="1" customWidth="1"/>
    <col min="16" max="16384" width="10.28515625" style="3"/>
  </cols>
  <sheetData>
    <row r="1" spans="1:14" s="1250" customFormat="1" ht="30.75" customHeight="1">
      <c r="A1" s="1575" t="s">
        <v>1086</v>
      </c>
      <c r="B1" s="1575"/>
      <c r="C1" s="1575"/>
      <c r="D1" s="1575"/>
      <c r="E1" s="1575"/>
      <c r="J1" s="1575" t="s">
        <v>1086</v>
      </c>
      <c r="K1" s="1575"/>
      <c r="L1" s="1575"/>
      <c r="M1" s="1575"/>
      <c r="N1" s="1575"/>
    </row>
    <row r="2" spans="1:14" s="10" customFormat="1" ht="39.75" customHeight="1">
      <c r="A2" s="1578" t="str">
        <f>Титульный!B10</f>
        <v xml:space="preserve"> </v>
      </c>
      <c r="B2" s="1578"/>
      <c r="C2" s="1578"/>
      <c r="D2" s="1578"/>
      <c r="E2" s="1578"/>
      <c r="F2" s="1251"/>
      <c r="G2" s="1251"/>
      <c r="H2" s="1251"/>
      <c r="I2" s="1251"/>
      <c r="J2" s="1578" t="str">
        <f>A2</f>
        <v xml:space="preserve"> </v>
      </c>
      <c r="K2" s="1578"/>
      <c r="L2" s="1578"/>
      <c r="M2" s="1578"/>
      <c r="N2" s="1578"/>
    </row>
    <row r="3" spans="1:14" s="10" customFormat="1">
      <c r="A3" s="1576" t="s">
        <v>1082</v>
      </c>
      <c r="B3" s="1576"/>
      <c r="C3" s="1576"/>
      <c r="D3" s="1576"/>
      <c r="E3" s="1576"/>
      <c r="J3" s="1576" t="s">
        <v>1082</v>
      </c>
      <c r="K3" s="1576"/>
      <c r="L3" s="1576"/>
      <c r="M3" s="1576"/>
      <c r="N3" s="1576"/>
    </row>
    <row r="4" spans="1:14" s="10" customFormat="1">
      <c r="A4" s="1576"/>
      <c r="B4" s="1576"/>
      <c r="C4" s="1576"/>
      <c r="D4" s="1576"/>
      <c r="E4" s="1576"/>
      <c r="J4" s="1576"/>
      <c r="K4" s="1576"/>
      <c r="L4" s="1576"/>
      <c r="M4" s="1576"/>
      <c r="N4" s="1576"/>
    </row>
    <row r="5" spans="1:14" s="10" customFormat="1">
      <c r="A5" s="761" t="s">
        <v>199</v>
      </c>
      <c r="B5" s="1115">
        <f>Титульный!B6</f>
        <v>0</v>
      </c>
      <c r="C5" s="1111"/>
      <c r="D5" s="1111"/>
      <c r="E5" s="1111"/>
      <c r="J5" s="761" t="s">
        <v>199</v>
      </c>
      <c r="K5" s="1115">
        <f>B5</f>
        <v>0</v>
      </c>
      <c r="L5" s="1111"/>
      <c r="M5" s="1111"/>
      <c r="N5" s="1111"/>
    </row>
    <row r="6" spans="1:14" s="10" customFormat="1">
      <c r="A6" s="761" t="s">
        <v>200</v>
      </c>
      <c r="B6" s="1115">
        <f>Титульный!B7</f>
        <v>0</v>
      </c>
      <c r="C6" s="1111"/>
      <c r="D6" s="1111"/>
      <c r="E6" s="1111"/>
      <c r="J6" s="761" t="s">
        <v>200</v>
      </c>
      <c r="K6" s="1115">
        <f>B6</f>
        <v>0</v>
      </c>
      <c r="L6" s="1111"/>
      <c r="M6" s="1111"/>
      <c r="N6" s="1111"/>
    </row>
    <row r="7" spans="1:14" ht="18.75" customHeight="1" thickBot="1">
      <c r="B7" s="1252"/>
      <c r="C7" s="1252"/>
      <c r="D7" s="1252"/>
      <c r="J7" s="5"/>
      <c r="K7" s="581"/>
      <c r="L7" s="581"/>
      <c r="M7" s="581"/>
      <c r="N7" s="5"/>
    </row>
    <row r="8" spans="1:14" ht="36" customHeight="1" thickBot="1">
      <c r="B8" s="1217" t="s">
        <v>1083</v>
      </c>
      <c r="C8" s="1199" t="s">
        <v>572</v>
      </c>
      <c r="D8" s="1253"/>
      <c r="K8" s="1217" t="s">
        <v>1083</v>
      </c>
      <c r="L8" s="1199" t="s">
        <v>572</v>
      </c>
      <c r="M8" s="1253"/>
    </row>
    <row r="9" spans="1:14" ht="15.75" customHeight="1"/>
    <row r="10" spans="1:14" ht="14.25" customHeight="1">
      <c r="B10" s="1254"/>
      <c r="C10" s="1254"/>
      <c r="D10" s="1253"/>
      <c r="E10" s="3" t="s">
        <v>457</v>
      </c>
      <c r="K10" s="1254"/>
      <c r="L10" s="1254"/>
      <c r="M10" s="1253"/>
      <c r="N10" s="3" t="s">
        <v>457</v>
      </c>
    </row>
    <row r="11" spans="1:14" ht="19.5" customHeight="1">
      <c r="B11" s="1577" t="s">
        <v>1866</v>
      </c>
      <c r="C11" s="1468" t="s">
        <v>1867</v>
      </c>
      <c r="D11" s="1468"/>
      <c r="E11" s="1468"/>
      <c r="K11" s="1577" t="s">
        <v>1866</v>
      </c>
      <c r="L11" s="1468" t="s">
        <v>1867</v>
      </c>
      <c r="M11" s="1468"/>
      <c r="N11" s="1468"/>
    </row>
    <row r="12" spans="1:14" ht="66" customHeight="1">
      <c r="B12" s="1577"/>
      <c r="C12" s="1211" t="s">
        <v>1084</v>
      </c>
      <c r="D12" s="1211" t="s">
        <v>1125</v>
      </c>
      <c r="E12" s="1211" t="s">
        <v>1085</v>
      </c>
      <c r="K12" s="1577"/>
      <c r="L12" s="1211" t="s">
        <v>1084</v>
      </c>
      <c r="M12" s="1211" t="s">
        <v>1125</v>
      </c>
      <c r="N12" s="1211" t="s">
        <v>1085</v>
      </c>
    </row>
    <row r="13" spans="1:14">
      <c r="B13" s="1212" t="s">
        <v>1798</v>
      </c>
      <c r="C13" s="760">
        <f>SUM(C14,C15)</f>
        <v>0</v>
      </c>
      <c r="D13" s="760">
        <f t="shared" ref="D13:E13" si="0">SUM(D14,D15)</f>
        <v>0</v>
      </c>
      <c r="E13" s="760">
        <f t="shared" si="0"/>
        <v>0</v>
      </c>
      <c r="K13" s="1212" t="s">
        <v>1798</v>
      </c>
      <c r="L13" s="760">
        <f>SUM(L14,L15)</f>
        <v>0</v>
      </c>
      <c r="M13" s="760">
        <f t="shared" ref="M13" si="1">SUM(M14,M15)</f>
        <v>0</v>
      </c>
      <c r="N13" s="760">
        <f t="shared" ref="N13" si="2">SUM(N14,N15)</f>
        <v>0</v>
      </c>
    </row>
    <row r="14" spans="1:14">
      <c r="B14" s="1258" t="s">
        <v>1106</v>
      </c>
      <c r="C14" s="759">
        <f>'баланс ВСН'!C33</f>
        <v>0</v>
      </c>
      <c r="D14" s="759">
        <f>IF($C$13=0,0,C14/$C$13*('баланс ВСН'!I40-'баланс ВСН'!I33))</f>
        <v>0</v>
      </c>
      <c r="E14" s="759">
        <f>SUM(C14:D14)</f>
        <v>0</v>
      </c>
      <c r="K14" s="1258" t="s">
        <v>1106</v>
      </c>
      <c r="L14" s="759">
        <f>'баланс ВСН'!R33</f>
        <v>0</v>
      </c>
      <c r="M14" s="759">
        <f>IF($C$13=0,0,L14/$C$13*('баланс ВСН'!X40-'баланс ВСН'!X33))</f>
        <v>0</v>
      </c>
      <c r="N14" s="759">
        <f>SUM(L14:M14)</f>
        <v>0</v>
      </c>
    </row>
    <row r="15" spans="1:14">
      <c r="B15" s="1259" t="s">
        <v>1797</v>
      </c>
      <c r="C15" s="759">
        <f>'баланс ВСН'!I33-C14</f>
        <v>0</v>
      </c>
      <c r="D15" s="759">
        <f>'баланс ВСН'!I40-C14-C15-D14</f>
        <v>0</v>
      </c>
      <c r="E15" s="759">
        <f>SUM(C15:D15)</f>
        <v>0</v>
      </c>
      <c r="K15" s="1259" t="s">
        <v>1797</v>
      </c>
      <c r="L15" s="759">
        <f>'баланс ВСН'!X33-L14</f>
        <v>0</v>
      </c>
      <c r="M15" s="759">
        <f>'баланс ВСН'!X40-L14-L15-M14</f>
        <v>0</v>
      </c>
      <c r="N15" s="759">
        <f>SUM(L15:M15)</f>
        <v>0</v>
      </c>
    </row>
    <row r="16" spans="1:14" s="401" customFormat="1">
      <c r="B16" s="1255"/>
      <c r="C16" s="1256"/>
      <c r="D16" s="1257"/>
      <c r="E16" s="585">
        <f>E13-'баланс ВСН'!I40</f>
        <v>0</v>
      </c>
      <c r="K16" s="582"/>
      <c r="L16" s="583"/>
      <c r="M16" s="584"/>
      <c r="N16" s="585">
        <f>N13-'баланс ВСН'!X40</f>
        <v>0</v>
      </c>
    </row>
    <row r="17" spans="1:14">
      <c r="B17" s="130"/>
      <c r="C17" s="130"/>
      <c r="D17" s="130"/>
      <c r="E17" s="130"/>
      <c r="K17" s="130"/>
      <c r="L17" s="130"/>
      <c r="M17" s="130"/>
      <c r="N17" s="130"/>
    </row>
    <row r="18" spans="1:14">
      <c r="A18" s="5"/>
      <c r="B18" s="581" t="s">
        <v>1086</v>
      </c>
      <c r="C18" s="581"/>
      <c r="D18" s="581"/>
      <c r="J18" s="5"/>
      <c r="K18" s="581" t="s">
        <v>1086</v>
      </c>
      <c r="L18" s="581"/>
      <c r="M18" s="581"/>
    </row>
    <row r="19" spans="1:14" ht="27" customHeight="1">
      <c r="A19" s="1465" t="s">
        <v>183</v>
      </c>
      <c r="B19" s="1465" t="s">
        <v>467</v>
      </c>
      <c r="C19" s="1468" t="s">
        <v>2002</v>
      </c>
      <c r="D19" s="1468"/>
      <c r="J19" s="1465" t="s">
        <v>183</v>
      </c>
      <c r="K19" s="1465" t="s">
        <v>467</v>
      </c>
      <c r="L19" s="1579" t="s">
        <v>1868</v>
      </c>
      <c r="M19" s="1580"/>
    </row>
    <row r="20" spans="1:14" ht="36" customHeight="1">
      <c r="A20" s="1466"/>
      <c r="B20" s="1466"/>
      <c r="C20" s="1469" t="s">
        <v>1087</v>
      </c>
      <c r="D20" s="1469"/>
      <c r="J20" s="1466"/>
      <c r="K20" s="1466"/>
      <c r="L20" s="1581" t="s">
        <v>1087</v>
      </c>
      <c r="M20" s="1582"/>
    </row>
    <row r="21" spans="1:14" ht="52.5" customHeight="1">
      <c r="A21" s="1467"/>
      <c r="B21" s="1467"/>
      <c r="C21" s="1210" t="s">
        <v>1088</v>
      </c>
      <c r="D21" s="1211" t="s">
        <v>1089</v>
      </c>
      <c r="J21" s="1467"/>
      <c r="K21" s="1467"/>
      <c r="L21" s="1210" t="s">
        <v>1088</v>
      </c>
      <c r="M21" s="1211" t="s">
        <v>1089</v>
      </c>
    </row>
    <row r="22" spans="1:14">
      <c r="A22" s="1107">
        <v>1</v>
      </c>
      <c r="B22" s="1212" t="s">
        <v>1090</v>
      </c>
      <c r="C22" s="586">
        <f>C23+C24</f>
        <v>0</v>
      </c>
      <c r="D22" s="586">
        <f t="shared" ref="D22" si="3">D23+D24</f>
        <v>0</v>
      </c>
      <c r="J22" s="1107">
        <v>1</v>
      </c>
      <c r="K22" s="1212" t="s">
        <v>1090</v>
      </c>
      <c r="L22" s="586">
        <f>L23+L24</f>
        <v>0</v>
      </c>
      <c r="M22" s="586">
        <f t="shared" ref="M22" si="4">M23+M24</f>
        <v>0</v>
      </c>
    </row>
    <row r="23" spans="1:14" ht="28.5">
      <c r="A23" s="1211" t="s">
        <v>224</v>
      </c>
      <c r="B23" s="1213" t="s">
        <v>1091</v>
      </c>
      <c r="C23" s="587">
        <f>IF($C$8="поверхностные источники",E14,0)</f>
        <v>0</v>
      </c>
      <c r="D23" s="587">
        <f>IF(C8="подземные источники",E14,0)</f>
        <v>0</v>
      </c>
      <c r="J23" s="1211" t="s">
        <v>224</v>
      </c>
      <c r="K23" s="1213" t="s">
        <v>1091</v>
      </c>
      <c r="L23" s="587">
        <f>IF($C$8="поверхностные источники",N14,0)</f>
        <v>0</v>
      </c>
      <c r="M23" s="587">
        <f>IF(L8="подземные источники",N14,0)</f>
        <v>0</v>
      </c>
    </row>
    <row r="24" spans="1:14" ht="51">
      <c r="A24" s="1211" t="s">
        <v>226</v>
      </c>
      <c r="B24" s="1213" t="s">
        <v>1092</v>
      </c>
      <c r="C24" s="587">
        <f>IF($C$8="поверхностные источники",SUM(C25:C26),0)</f>
        <v>0</v>
      </c>
      <c r="D24" s="587">
        <f>IF(C8="подземные источники",SUM(D25:D26),0)</f>
        <v>0</v>
      </c>
      <c r="J24" s="1211" t="s">
        <v>226</v>
      </c>
      <c r="K24" s="1213" t="s">
        <v>1092</v>
      </c>
      <c r="L24" s="587">
        <f>IF($C$8="поверхностные источники",SUM(L25:L26),0)</f>
        <v>0</v>
      </c>
      <c r="M24" s="587">
        <f>IF(L8="подземные источники",SUM(M25:M26),0)</f>
        <v>0</v>
      </c>
    </row>
    <row r="25" spans="1:14">
      <c r="A25" s="1211" t="s">
        <v>1093</v>
      </c>
      <c r="B25" s="1214" t="s">
        <v>1094</v>
      </c>
      <c r="C25" s="587">
        <f>IF($C$8="поверхностные источники",E15,0)-C26</f>
        <v>0</v>
      </c>
      <c r="D25" s="587">
        <f>IF(C8="подземные источники",E15,0)-D26</f>
        <v>0</v>
      </c>
      <c r="J25" s="1211" t="s">
        <v>1093</v>
      </c>
      <c r="K25" s="1214" t="s">
        <v>1094</v>
      </c>
      <c r="L25" s="587">
        <f>IF($C$8="поверхностные источники",N15,0)-L26</f>
        <v>0</v>
      </c>
      <c r="M25" s="587">
        <f>IF(L8="подземные источники",N15,0)-M26</f>
        <v>0</v>
      </c>
    </row>
    <row r="26" spans="1:14">
      <c r="A26" s="1211" t="s">
        <v>1095</v>
      </c>
      <c r="B26" s="1214" t="s">
        <v>1096</v>
      </c>
      <c r="C26" s="588"/>
      <c r="D26" s="588"/>
      <c r="J26" s="1211" t="s">
        <v>1095</v>
      </c>
      <c r="K26" s="1214" t="s">
        <v>1096</v>
      </c>
      <c r="L26" s="588"/>
      <c r="M26" s="588"/>
    </row>
    <row r="27" spans="1:14">
      <c r="A27" s="1107" t="s">
        <v>228</v>
      </c>
      <c r="B27" s="1212" t="s">
        <v>1097</v>
      </c>
      <c r="C27" s="589"/>
      <c r="D27" s="589"/>
      <c r="J27" s="1107" t="s">
        <v>228</v>
      </c>
      <c r="K27" s="1212" t="s">
        <v>1097</v>
      </c>
      <c r="L27" s="589"/>
      <c r="M27" s="589"/>
    </row>
    <row r="28" spans="1:14">
      <c r="A28" s="1211" t="s">
        <v>428</v>
      </c>
      <c r="B28" s="1213" t="s">
        <v>1098</v>
      </c>
      <c r="C28" s="590">
        <f>D28</f>
        <v>0.122</v>
      </c>
      <c r="D28" s="590">
        <v>0.122</v>
      </c>
      <c r="J28" s="1211" t="s">
        <v>428</v>
      </c>
      <c r="K28" s="1213" t="s">
        <v>1098</v>
      </c>
      <c r="L28" s="590">
        <f>M28</f>
        <v>0.122</v>
      </c>
      <c r="M28" s="590">
        <v>0.122</v>
      </c>
    </row>
    <row r="29" spans="1:14">
      <c r="A29" s="1211" t="s">
        <v>431</v>
      </c>
      <c r="B29" s="1213" t="s">
        <v>1099</v>
      </c>
      <c r="C29" s="589"/>
      <c r="D29" s="589"/>
      <c r="J29" s="1211" t="s">
        <v>431</v>
      </c>
      <c r="K29" s="1213" t="s">
        <v>1099</v>
      </c>
      <c r="L29" s="589"/>
      <c r="M29" s="589"/>
    </row>
    <row r="30" spans="1:14">
      <c r="A30" s="1215" t="s">
        <v>1100</v>
      </c>
      <c r="B30" s="1214" t="s">
        <v>1094</v>
      </c>
      <c r="C30" s="590">
        <v>0.47299999999999998</v>
      </c>
      <c r="D30" s="590">
        <v>0.57799999999999996</v>
      </c>
      <c r="J30" s="1215" t="s">
        <v>1100</v>
      </c>
      <c r="K30" s="1214" t="s">
        <v>1094</v>
      </c>
      <c r="L30" s="590">
        <v>0.47299999999999998</v>
      </c>
      <c r="M30" s="590">
        <v>0.57799999999999996</v>
      </c>
    </row>
    <row r="31" spans="1:14">
      <c r="A31" s="1211" t="s">
        <v>1101</v>
      </c>
      <c r="B31" s="1214" t="s">
        <v>1096</v>
      </c>
      <c r="C31" s="590">
        <v>0.48299999999999998</v>
      </c>
      <c r="D31" s="590">
        <v>0.59899999999999998</v>
      </c>
      <c r="J31" s="1211" t="s">
        <v>1101</v>
      </c>
      <c r="K31" s="1214" t="s">
        <v>1096</v>
      </c>
      <c r="L31" s="590">
        <v>0.48299999999999998</v>
      </c>
      <c r="M31" s="590">
        <v>0.59899999999999998</v>
      </c>
    </row>
    <row r="32" spans="1:14">
      <c r="A32" s="1216" t="s">
        <v>230</v>
      </c>
      <c r="B32" s="1212" t="s">
        <v>1102</v>
      </c>
      <c r="C32" s="586">
        <f t="shared" ref="C32:D32" si="5">SUM(C33:C34)</f>
        <v>0</v>
      </c>
      <c r="D32" s="586">
        <f t="shared" si="5"/>
        <v>0</v>
      </c>
      <c r="J32" s="1216" t="s">
        <v>230</v>
      </c>
      <c r="K32" s="1212" t="s">
        <v>1102</v>
      </c>
      <c r="L32" s="586">
        <f t="shared" ref="L32:M32" si="6">SUM(L33:L34)</f>
        <v>0</v>
      </c>
      <c r="M32" s="586">
        <f t="shared" si="6"/>
        <v>0</v>
      </c>
    </row>
    <row r="33" spans="1:13">
      <c r="A33" s="1211" t="s">
        <v>232</v>
      </c>
      <c r="B33" s="1213" t="s">
        <v>1098</v>
      </c>
      <c r="C33" s="587">
        <f t="shared" ref="C33:D33" si="7">C23*C28</f>
        <v>0</v>
      </c>
      <c r="D33" s="587">
        <f t="shared" si="7"/>
        <v>0</v>
      </c>
      <c r="J33" s="1211" t="s">
        <v>232</v>
      </c>
      <c r="K33" s="1213" t="s">
        <v>1098</v>
      </c>
      <c r="L33" s="587">
        <f>L23*L28</f>
        <v>0</v>
      </c>
      <c r="M33" s="587">
        <f t="shared" ref="M33" si="8">M23*M28</f>
        <v>0</v>
      </c>
    </row>
    <row r="34" spans="1:13">
      <c r="A34" s="1211" t="s">
        <v>233</v>
      </c>
      <c r="B34" s="1213" t="s">
        <v>1099</v>
      </c>
      <c r="C34" s="587">
        <f t="shared" ref="C34:D34" si="9">SUM(C35:C36)</f>
        <v>0</v>
      </c>
      <c r="D34" s="587">
        <f t="shared" si="9"/>
        <v>0</v>
      </c>
      <c r="J34" s="1211" t="s">
        <v>233</v>
      </c>
      <c r="K34" s="1213" t="s">
        <v>1099</v>
      </c>
      <c r="L34" s="587">
        <f t="shared" ref="L34:M34" si="10">SUM(L35:L36)</f>
        <v>0</v>
      </c>
      <c r="M34" s="587">
        <f t="shared" si="10"/>
        <v>0</v>
      </c>
    </row>
    <row r="35" spans="1:13">
      <c r="A35" s="1211" t="s">
        <v>1103</v>
      </c>
      <c r="B35" s="1214" t="s">
        <v>1094</v>
      </c>
      <c r="C35" s="587">
        <f t="shared" ref="C35:D35" si="11">C25*C30</f>
        <v>0</v>
      </c>
      <c r="D35" s="587">
        <f t="shared" si="11"/>
        <v>0</v>
      </c>
      <c r="J35" s="1211" t="s">
        <v>1103</v>
      </c>
      <c r="K35" s="1214" t="s">
        <v>1094</v>
      </c>
      <c r="L35" s="587">
        <f t="shared" ref="L35:M35" si="12">L25*L30</f>
        <v>0</v>
      </c>
      <c r="M35" s="587">
        <f t="shared" si="12"/>
        <v>0</v>
      </c>
    </row>
    <row r="36" spans="1:13">
      <c r="A36" s="1211" t="s">
        <v>573</v>
      </c>
      <c r="B36" s="1214" t="s">
        <v>1096</v>
      </c>
      <c r="C36" s="587">
        <f t="shared" ref="C36:D36" si="13">C26*C31*1000</f>
        <v>0</v>
      </c>
      <c r="D36" s="587">
        <f t="shared" si="13"/>
        <v>0</v>
      </c>
      <c r="J36" s="1211" t="s">
        <v>573</v>
      </c>
      <c r="K36" s="1214" t="s">
        <v>1096</v>
      </c>
      <c r="L36" s="587">
        <f t="shared" ref="L36:M36" si="14">L26*L31*1000</f>
        <v>0</v>
      </c>
      <c r="M36" s="587">
        <f t="shared" si="14"/>
        <v>0</v>
      </c>
    </row>
  </sheetData>
  <sheetProtection password="F66E" sheet="1" objects="1" scenarios="1" formatCells="0" formatColumns="0" formatRows="0"/>
  <mergeCells count="20">
    <mergeCell ref="L19:M19"/>
    <mergeCell ref="L20:M20"/>
    <mergeCell ref="J1:N1"/>
    <mergeCell ref="J2:N2"/>
    <mergeCell ref="J3:N3"/>
    <mergeCell ref="J4:N4"/>
    <mergeCell ref="K11:K12"/>
    <mergeCell ref="L11:N11"/>
    <mergeCell ref="J19:J21"/>
    <mergeCell ref="K19:K21"/>
    <mergeCell ref="C19:D19"/>
    <mergeCell ref="C20:D20"/>
    <mergeCell ref="A1:E1"/>
    <mergeCell ref="A3:E3"/>
    <mergeCell ref="A4:E4"/>
    <mergeCell ref="B11:B12"/>
    <mergeCell ref="C11:E11"/>
    <mergeCell ref="A2:E2"/>
    <mergeCell ref="A19:A21"/>
    <mergeCell ref="B19:B21"/>
  </mergeCells>
  <dataValidations count="1">
    <dataValidation type="list" allowBlank="1" showInputMessage="1" showErrorMessage="1" sqref="C8 L8">
      <formula1>вид_водозабора</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opLeftCell="A71" workbookViewId="0">
      <selection activeCell="W92" sqref="W92"/>
    </sheetView>
  </sheetViews>
  <sheetFormatPr defaultColWidth="10.28515625" defaultRowHeight="15"/>
  <cols>
    <col min="1" max="1" width="38.7109375" style="223" customWidth="1"/>
    <col min="2" max="4" width="17.5703125" style="223" customWidth="1"/>
    <col min="5" max="6" width="16.85546875" style="223" customWidth="1"/>
    <col min="7" max="7" width="15.7109375" style="223" customWidth="1"/>
    <col min="8" max="8" width="17" style="223" customWidth="1"/>
    <col min="9" max="9" width="14.28515625" style="223" customWidth="1"/>
    <col min="10" max="10" width="13.42578125" style="223" customWidth="1"/>
    <col min="11" max="11" width="17.140625" style="223" customWidth="1"/>
    <col min="12" max="12" width="37" style="223" hidden="1" customWidth="1"/>
    <col min="13" max="14" width="15.140625" style="223" hidden="1" customWidth="1"/>
    <col min="15" max="15" width="16.5703125" style="223" hidden="1" customWidth="1"/>
    <col min="16" max="16" width="16.85546875" style="223" hidden="1" customWidth="1"/>
    <col min="17" max="17" width="0" style="223" hidden="1" customWidth="1"/>
    <col min="18" max="16384" width="10.28515625" style="223"/>
  </cols>
  <sheetData>
    <row r="1" spans="1:11" ht="18.75">
      <c r="A1" s="1415" t="str">
        <f>Титульный!B10</f>
        <v xml:space="preserve"> </v>
      </c>
      <c r="B1" s="1416"/>
      <c r="C1" s="1416"/>
      <c r="D1" s="1416"/>
      <c r="E1" s="1416"/>
      <c r="F1" s="1416"/>
      <c r="G1" s="1416"/>
      <c r="H1" s="1416"/>
      <c r="I1" s="1416"/>
      <c r="J1" s="1416"/>
      <c r="K1" s="1416"/>
    </row>
    <row r="2" spans="1:11">
      <c r="A2" s="173"/>
      <c r="B2" s="173"/>
      <c r="C2" s="173"/>
      <c r="D2" s="173"/>
      <c r="E2" s="173"/>
      <c r="F2" s="173"/>
      <c r="G2" s="173"/>
      <c r="H2" s="173"/>
      <c r="I2" s="173"/>
      <c r="J2" s="173"/>
      <c r="K2" s="173"/>
    </row>
    <row r="3" spans="1:11" s="627" customFormat="1" ht="18.75">
      <c r="A3" s="1417" t="s">
        <v>1587</v>
      </c>
      <c r="B3" s="1417"/>
      <c r="C3" s="1417"/>
      <c r="D3" s="1417"/>
      <c r="E3" s="1417"/>
      <c r="F3" s="1417"/>
      <c r="G3" s="1417"/>
      <c r="H3" s="1417"/>
      <c r="I3" s="1417"/>
      <c r="J3" s="1417"/>
      <c r="K3" s="1417"/>
    </row>
    <row r="4" spans="1:11" s="627" customFormat="1" ht="18.75">
      <c r="A4" s="1081"/>
      <c r="B4" s="1081"/>
      <c r="C4" s="1081"/>
      <c r="D4" s="1081"/>
      <c r="E4" s="1081"/>
      <c r="F4" s="1081"/>
      <c r="G4" s="1081"/>
      <c r="H4" s="1081"/>
      <c r="I4" s="1081"/>
      <c r="J4" s="1081"/>
      <c r="K4" s="1081"/>
    </row>
    <row r="5" spans="1:11" s="627" customFormat="1" ht="20.25">
      <c r="A5" s="1418" t="str">
        <f>Титульный!B21</f>
        <v/>
      </c>
      <c r="B5" s="1418"/>
      <c r="C5" s="1418"/>
      <c r="D5" s="1418"/>
      <c r="E5" s="1418"/>
      <c r="F5" s="1418"/>
      <c r="G5" s="1418"/>
      <c r="H5" s="1418"/>
      <c r="I5" s="1418"/>
      <c r="J5" s="1418"/>
      <c r="K5" s="1418"/>
    </row>
    <row r="6" spans="1:11" s="627" customFormat="1" ht="18.75">
      <c r="A6" s="1081"/>
      <c r="B6" s="630"/>
      <c r="C6" s="1081"/>
      <c r="D6" s="1081"/>
      <c r="E6" s="1165"/>
      <c r="F6" s="1165"/>
      <c r="G6" s="1081"/>
      <c r="H6" s="1081"/>
      <c r="I6" s="1081"/>
      <c r="J6" s="1081"/>
      <c r="K6" s="1081"/>
    </row>
    <row r="7" spans="1:11" s="627" customFormat="1" ht="18.75">
      <c r="A7" s="1165"/>
      <c r="B7" s="1165"/>
      <c r="C7" s="1081"/>
      <c r="D7" s="1081"/>
      <c r="E7" s="1081"/>
      <c r="F7" s="1081"/>
      <c r="G7" s="1081"/>
      <c r="H7" s="1081"/>
      <c r="I7" s="1081"/>
      <c r="J7" s="1081"/>
      <c r="K7" s="1081"/>
    </row>
    <row r="8" spans="1:11" s="627" customFormat="1" ht="18.75">
      <c r="A8" s="628" t="s">
        <v>199</v>
      </c>
      <c r="B8" s="629">
        <f>Титульный!B6</f>
        <v>0</v>
      </c>
      <c r="C8" s="1081"/>
      <c r="D8" s="1081"/>
      <c r="E8" s="628" t="s">
        <v>200</v>
      </c>
      <c r="F8" s="629">
        <f>Титульный!B7</f>
        <v>0</v>
      </c>
      <c r="G8" s="1081"/>
      <c r="H8" s="1081"/>
      <c r="I8" s="1081"/>
      <c r="J8" s="1081"/>
      <c r="K8" s="1081"/>
    </row>
    <row r="9" spans="1:11" ht="15.75" customHeight="1">
      <c r="A9" s="1419" t="s">
        <v>362</v>
      </c>
      <c r="B9" s="1422" t="s">
        <v>1588</v>
      </c>
      <c r="C9" s="1422" t="s">
        <v>1589</v>
      </c>
      <c r="D9" s="1422" t="s">
        <v>1590</v>
      </c>
      <c r="E9" s="1422" t="s">
        <v>363</v>
      </c>
      <c r="F9" s="1422" t="s">
        <v>364</v>
      </c>
      <c r="G9" s="1422" t="s">
        <v>365</v>
      </c>
      <c r="H9" s="1422" t="s">
        <v>366</v>
      </c>
      <c r="I9" s="1425" t="s">
        <v>367</v>
      </c>
      <c r="J9" s="1426"/>
      <c r="K9" s="1427"/>
    </row>
    <row r="10" spans="1:11" ht="27.6" customHeight="1">
      <c r="A10" s="1420"/>
      <c r="B10" s="1423"/>
      <c r="C10" s="1423"/>
      <c r="D10" s="1423"/>
      <c r="E10" s="1423"/>
      <c r="F10" s="1423"/>
      <c r="G10" s="1423"/>
      <c r="H10" s="1423"/>
      <c r="I10" s="1425" t="s">
        <v>368</v>
      </c>
      <c r="J10" s="1427"/>
      <c r="K10" s="1422" t="s">
        <v>371</v>
      </c>
    </row>
    <row r="11" spans="1:11" ht="61.9" customHeight="1">
      <c r="A11" s="1421"/>
      <c r="B11" s="1424"/>
      <c r="C11" s="1424"/>
      <c r="D11" s="1424"/>
      <c r="E11" s="1424"/>
      <c r="F11" s="1424"/>
      <c r="G11" s="1424"/>
      <c r="H11" s="1424"/>
      <c r="I11" s="1082" t="s">
        <v>369</v>
      </c>
      <c r="J11" s="1082" t="s">
        <v>370</v>
      </c>
      <c r="K11" s="1424"/>
    </row>
    <row r="12" spans="1:11" ht="15.75">
      <c r="A12" s="631" t="s">
        <v>1591</v>
      </c>
      <c r="B12" s="632"/>
      <c r="C12" s="632"/>
      <c r="D12" s="632"/>
      <c r="E12" s="633"/>
      <c r="F12" s="633"/>
      <c r="G12" s="633"/>
      <c r="H12" s="632"/>
      <c r="I12" s="632"/>
      <c r="J12" s="632"/>
      <c r="K12" s="634"/>
    </row>
    <row r="13" spans="1:11">
      <c r="A13" s="571"/>
      <c r="B13" s="571"/>
      <c r="C13" s="571"/>
      <c r="D13" s="571"/>
      <c r="E13" s="572"/>
      <c r="F13" s="572"/>
      <c r="G13" s="572"/>
      <c r="H13" s="571"/>
      <c r="I13" s="573"/>
      <c r="J13" s="573"/>
      <c r="K13" s="601"/>
    </row>
    <row r="14" spans="1:11">
      <c r="A14" s="571"/>
      <c r="B14" s="571"/>
      <c r="C14" s="571"/>
      <c r="D14" s="571"/>
      <c r="E14" s="572"/>
      <c r="F14" s="572"/>
      <c r="G14" s="572"/>
      <c r="H14" s="571"/>
      <c r="I14" s="573"/>
      <c r="J14" s="573"/>
      <c r="K14" s="601"/>
    </row>
    <row r="15" spans="1:11">
      <c r="A15" s="571"/>
      <c r="B15" s="571"/>
      <c r="C15" s="571"/>
      <c r="D15" s="571"/>
      <c r="E15" s="572"/>
      <c r="F15" s="572"/>
      <c r="G15" s="572"/>
      <c r="H15" s="571"/>
      <c r="I15" s="573"/>
      <c r="J15" s="573"/>
      <c r="K15" s="601"/>
    </row>
    <row r="16" spans="1:11">
      <c r="A16" s="571"/>
      <c r="B16" s="571"/>
      <c r="C16" s="571"/>
      <c r="D16" s="571"/>
      <c r="E16" s="572"/>
      <c r="F16" s="572"/>
      <c r="G16" s="572"/>
      <c r="H16" s="571"/>
      <c r="I16" s="573"/>
      <c r="J16" s="573"/>
      <c r="K16" s="601"/>
    </row>
    <row r="17" spans="1:11" ht="15.75">
      <c r="A17" s="635"/>
      <c r="B17" s="571"/>
      <c r="C17" s="571"/>
      <c r="D17" s="571"/>
      <c r="E17" s="572"/>
      <c r="F17" s="572"/>
      <c r="G17" s="572"/>
      <c r="H17" s="571"/>
      <c r="I17" s="573"/>
      <c r="J17" s="573"/>
      <c r="K17" s="601"/>
    </row>
    <row r="18" spans="1:11" ht="15.75">
      <c r="A18" s="635"/>
      <c r="B18" s="571"/>
      <c r="C18" s="571"/>
      <c r="D18" s="571"/>
      <c r="E18" s="572"/>
      <c r="F18" s="572"/>
      <c r="G18" s="572"/>
      <c r="H18" s="571"/>
      <c r="I18" s="573"/>
      <c r="J18" s="573"/>
      <c r="K18" s="601"/>
    </row>
    <row r="19" spans="1:11" ht="15.75">
      <c r="A19" s="635"/>
      <c r="B19" s="571"/>
      <c r="C19" s="571"/>
      <c r="D19" s="571"/>
      <c r="E19" s="572"/>
      <c r="F19" s="572"/>
      <c r="G19" s="572"/>
      <c r="H19" s="571"/>
      <c r="I19" s="573"/>
      <c r="J19" s="573"/>
      <c r="K19" s="601"/>
    </row>
    <row r="20" spans="1:11" ht="15.75">
      <c r="A20" s="635"/>
      <c r="B20" s="571"/>
      <c r="C20" s="571"/>
      <c r="D20" s="571"/>
      <c r="E20" s="572"/>
      <c r="F20" s="572"/>
      <c r="G20" s="572"/>
      <c r="H20" s="571"/>
      <c r="I20" s="573"/>
      <c r="J20" s="573"/>
      <c r="K20" s="601"/>
    </row>
    <row r="21" spans="1:11" ht="15.75">
      <c r="A21" s="636"/>
      <c r="B21" s="571"/>
      <c r="C21" s="571"/>
      <c r="D21" s="571"/>
      <c r="E21" s="572"/>
      <c r="F21" s="572"/>
      <c r="G21" s="572"/>
      <c r="H21" s="571"/>
      <c r="I21" s="573"/>
      <c r="J21" s="573"/>
      <c r="K21" s="601"/>
    </row>
    <row r="22" spans="1:11" ht="15.75">
      <c r="A22" s="636"/>
      <c r="B22" s="571"/>
      <c r="C22" s="571"/>
      <c r="D22" s="571"/>
      <c r="E22" s="572"/>
      <c r="F22" s="572"/>
      <c r="G22" s="572"/>
      <c r="H22" s="571"/>
      <c r="I22" s="573"/>
      <c r="J22" s="573"/>
      <c r="K22" s="601"/>
    </row>
    <row r="23" spans="1:11" ht="15.75">
      <c r="A23" s="636"/>
      <c r="B23" s="571"/>
      <c r="C23" s="571"/>
      <c r="D23" s="571"/>
      <c r="E23" s="572"/>
      <c r="F23" s="572"/>
      <c r="G23" s="572"/>
      <c r="H23" s="571"/>
      <c r="I23" s="573"/>
      <c r="J23" s="573"/>
      <c r="K23" s="601"/>
    </row>
    <row r="24" spans="1:11" ht="15.75">
      <c r="A24" s="635"/>
      <c r="B24" s="571"/>
      <c r="C24" s="571"/>
      <c r="D24" s="571"/>
      <c r="E24" s="572"/>
      <c r="F24" s="572"/>
      <c r="G24" s="572"/>
      <c r="H24" s="571"/>
      <c r="I24" s="573"/>
      <c r="J24" s="573"/>
      <c r="K24" s="601"/>
    </row>
    <row r="25" spans="1:11" ht="15.75">
      <c r="A25" s="636"/>
      <c r="B25" s="571"/>
      <c r="C25" s="571"/>
      <c r="D25" s="571"/>
      <c r="E25" s="572"/>
      <c r="F25" s="572"/>
      <c r="G25" s="572"/>
      <c r="H25" s="571"/>
      <c r="I25" s="573"/>
      <c r="J25" s="573"/>
      <c r="K25" s="601"/>
    </row>
    <row r="26" spans="1:11" ht="15.75">
      <c r="A26" s="636"/>
      <c r="B26" s="571"/>
      <c r="C26" s="571"/>
      <c r="D26" s="571"/>
      <c r="E26" s="572"/>
      <c r="F26" s="572"/>
      <c r="G26" s="572"/>
      <c r="H26" s="571"/>
      <c r="I26" s="573"/>
      <c r="J26" s="573"/>
      <c r="K26" s="601"/>
    </row>
    <row r="27" spans="1:11" ht="15.75">
      <c r="A27" s="636"/>
      <c r="B27" s="571"/>
      <c r="C27" s="571"/>
      <c r="D27" s="571"/>
      <c r="E27" s="572"/>
      <c r="F27" s="572"/>
      <c r="G27" s="572"/>
      <c r="H27" s="571"/>
      <c r="I27" s="573"/>
      <c r="J27" s="573"/>
      <c r="K27" s="601"/>
    </row>
    <row r="28" spans="1:11" ht="15.75">
      <c r="A28" s="631" t="s">
        <v>372</v>
      </c>
      <c r="B28" s="632"/>
      <c r="C28" s="632"/>
      <c r="D28" s="632"/>
      <c r="E28" s="632"/>
      <c r="F28" s="632"/>
      <c r="G28" s="632"/>
      <c r="H28" s="632"/>
      <c r="I28" s="632"/>
      <c r="J28" s="632"/>
      <c r="K28" s="632"/>
    </row>
    <row r="29" spans="1:11">
      <c r="A29" s="571"/>
      <c r="B29" s="571"/>
      <c r="C29" s="571"/>
      <c r="D29" s="571"/>
      <c r="E29" s="571"/>
      <c r="F29" s="571"/>
      <c r="G29" s="571"/>
      <c r="H29" s="571"/>
      <c r="I29" s="573"/>
      <c r="J29" s="573"/>
      <c r="K29" s="601"/>
    </row>
    <row r="30" spans="1:11">
      <c r="A30" s="571"/>
      <c r="B30" s="571"/>
      <c r="C30" s="571"/>
      <c r="D30" s="571"/>
      <c r="E30" s="571"/>
      <c r="F30" s="571"/>
      <c r="G30" s="571"/>
      <c r="H30" s="571"/>
      <c r="I30" s="573"/>
      <c r="J30" s="573"/>
      <c r="K30" s="601"/>
    </row>
    <row r="31" spans="1:11">
      <c r="A31" s="571"/>
      <c r="B31" s="571"/>
      <c r="C31" s="571"/>
      <c r="D31" s="571"/>
      <c r="E31" s="571"/>
      <c r="F31" s="571"/>
      <c r="G31" s="571"/>
      <c r="H31" s="571"/>
      <c r="I31" s="573"/>
      <c r="J31" s="573"/>
      <c r="K31" s="601"/>
    </row>
    <row r="32" spans="1:11">
      <c r="A32" s="571"/>
      <c r="B32" s="571"/>
      <c r="C32" s="571"/>
      <c r="D32" s="571"/>
      <c r="E32" s="571"/>
      <c r="F32" s="571"/>
      <c r="G32" s="571"/>
      <c r="H32" s="571"/>
      <c r="I32" s="573"/>
      <c r="J32" s="573"/>
      <c r="K32" s="601"/>
    </row>
    <row r="33" spans="1:11">
      <c r="A33" s="571"/>
      <c r="B33" s="571"/>
      <c r="C33" s="571"/>
      <c r="D33" s="571"/>
      <c r="E33" s="571"/>
      <c r="F33" s="571"/>
      <c r="G33" s="571"/>
      <c r="H33" s="571"/>
      <c r="I33" s="573"/>
      <c r="J33" s="573"/>
      <c r="K33" s="601"/>
    </row>
    <row r="34" spans="1:11">
      <c r="A34" s="571"/>
      <c r="B34" s="571"/>
      <c r="C34" s="571"/>
      <c r="D34" s="571"/>
      <c r="E34" s="571"/>
      <c r="F34" s="571"/>
      <c r="G34" s="571"/>
      <c r="H34" s="571"/>
      <c r="I34" s="573"/>
      <c r="J34" s="573"/>
      <c r="K34" s="601"/>
    </row>
    <row r="35" spans="1:11" ht="15.75">
      <c r="A35" s="631" t="s">
        <v>373</v>
      </c>
      <c r="B35" s="632"/>
      <c r="C35" s="632"/>
      <c r="D35" s="632"/>
      <c r="E35" s="632"/>
      <c r="F35" s="632"/>
      <c r="G35" s="632"/>
      <c r="H35" s="632"/>
      <c r="I35" s="632"/>
      <c r="J35" s="632"/>
      <c r="K35" s="632"/>
    </row>
    <row r="36" spans="1:11">
      <c r="A36" s="637"/>
      <c r="B36" s="573"/>
      <c r="C36" s="573"/>
      <c r="D36" s="573"/>
      <c r="E36" s="573"/>
      <c r="F36" s="573"/>
      <c r="G36" s="573"/>
      <c r="H36" s="573"/>
      <c r="I36" s="573"/>
      <c r="J36" s="573"/>
      <c r="K36" s="573"/>
    </row>
    <row r="37" spans="1:11">
      <c r="A37" s="571"/>
      <c r="B37" s="571"/>
      <c r="C37" s="571"/>
      <c r="D37" s="571"/>
      <c r="E37" s="571"/>
      <c r="F37" s="571"/>
      <c r="G37" s="571"/>
      <c r="H37" s="571"/>
      <c r="I37" s="573"/>
      <c r="J37" s="573"/>
      <c r="K37" s="573"/>
    </row>
    <row r="38" spans="1:11">
      <c r="A38" s="571"/>
      <c r="B38" s="571"/>
      <c r="C38" s="571"/>
      <c r="D38" s="571"/>
      <c r="E38" s="571"/>
      <c r="F38" s="571"/>
      <c r="G38" s="571"/>
      <c r="H38" s="571"/>
      <c r="I38" s="573"/>
      <c r="J38" s="573"/>
      <c r="K38" s="573"/>
    </row>
    <row r="39" spans="1:11">
      <c r="A39" s="571"/>
      <c r="B39" s="571"/>
      <c r="C39" s="571"/>
      <c r="D39" s="571"/>
      <c r="E39" s="571"/>
      <c r="F39" s="571"/>
      <c r="G39" s="571"/>
      <c r="H39" s="571"/>
      <c r="I39" s="573"/>
      <c r="J39" s="573"/>
      <c r="K39" s="573"/>
    </row>
    <row r="40" spans="1:11">
      <c r="A40" s="571"/>
      <c r="B40" s="571"/>
      <c r="C40" s="571"/>
      <c r="D40" s="571"/>
      <c r="E40" s="571"/>
      <c r="F40" s="571"/>
      <c r="G40" s="571"/>
      <c r="H40" s="571"/>
      <c r="I40" s="573"/>
      <c r="J40" s="573"/>
      <c r="K40" s="573"/>
    </row>
    <row r="41" spans="1:11">
      <c r="A41" s="571"/>
      <c r="B41" s="571"/>
      <c r="C41" s="571"/>
      <c r="D41" s="571"/>
      <c r="E41" s="571"/>
      <c r="F41" s="571"/>
      <c r="G41" s="571"/>
      <c r="H41" s="571"/>
      <c r="I41" s="573"/>
      <c r="J41" s="573"/>
      <c r="K41" s="573"/>
    </row>
    <row r="42" spans="1:11" ht="15.75">
      <c r="A42" s="631" t="s">
        <v>1592</v>
      </c>
      <c r="B42" s="632"/>
      <c r="C42" s="632"/>
      <c r="D42" s="632"/>
      <c r="E42" s="632"/>
      <c r="F42" s="632"/>
      <c r="G42" s="632"/>
      <c r="H42" s="632"/>
      <c r="I42" s="632"/>
      <c r="J42" s="632"/>
      <c r="K42" s="632"/>
    </row>
    <row r="43" spans="1:11" ht="15.6" hidden="1" customHeight="1">
      <c r="A43" s="573"/>
      <c r="B43" s="573"/>
      <c r="C43" s="573"/>
      <c r="D43" s="573"/>
      <c r="E43" s="573"/>
      <c r="F43" s="573"/>
      <c r="G43" s="573"/>
      <c r="H43" s="573"/>
      <c r="I43" s="573"/>
      <c r="J43" s="573"/>
      <c r="K43" s="573"/>
    </row>
    <row r="44" spans="1:11" ht="15.6" hidden="1" customHeight="1">
      <c r="A44" s="573"/>
      <c r="B44" s="573"/>
      <c r="C44" s="573"/>
      <c r="D44" s="573"/>
      <c r="E44" s="573"/>
      <c r="F44" s="573"/>
      <c r="G44" s="573"/>
      <c r="H44" s="573"/>
      <c r="I44" s="573"/>
      <c r="J44" s="573"/>
      <c r="K44" s="573"/>
    </row>
    <row r="45" spans="1:11" ht="15.6" hidden="1" customHeight="1">
      <c r="A45" s="573"/>
      <c r="B45" s="573"/>
      <c r="C45" s="573"/>
      <c r="D45" s="573"/>
      <c r="E45" s="573"/>
      <c r="F45" s="573"/>
      <c r="G45" s="573"/>
      <c r="H45" s="573"/>
      <c r="I45" s="573"/>
      <c r="J45" s="573"/>
      <c r="K45" s="573"/>
    </row>
    <row r="46" spans="1:11" ht="15.6" hidden="1" customHeight="1">
      <c r="A46" s="573"/>
      <c r="B46" s="573"/>
      <c r="C46" s="573"/>
      <c r="D46" s="573"/>
      <c r="E46" s="573"/>
      <c r="F46" s="573"/>
      <c r="G46" s="573"/>
      <c r="H46" s="573"/>
      <c r="I46" s="573"/>
      <c r="J46" s="573"/>
      <c r="K46" s="573"/>
    </row>
    <row r="47" spans="1:11" ht="15.6" hidden="1" customHeight="1">
      <c r="A47" s="573"/>
      <c r="B47" s="573"/>
      <c r="C47" s="573"/>
      <c r="D47" s="573"/>
      <c r="E47" s="573"/>
      <c r="F47" s="573"/>
      <c r="G47" s="573"/>
      <c r="H47" s="573"/>
      <c r="I47" s="573"/>
      <c r="J47" s="573"/>
      <c r="K47" s="573"/>
    </row>
    <row r="48" spans="1:11" ht="15.6" hidden="1" customHeight="1">
      <c r="A48" s="573"/>
      <c r="B48" s="573"/>
      <c r="C48" s="573"/>
      <c r="D48" s="573"/>
      <c r="E48" s="573"/>
      <c r="F48" s="573"/>
      <c r="G48" s="573"/>
      <c r="H48" s="573"/>
      <c r="I48" s="573"/>
      <c r="J48" s="573"/>
      <c r="K48" s="573"/>
    </row>
    <row r="49" spans="1:11" ht="15.6" hidden="1" customHeight="1">
      <c r="A49" s="573"/>
      <c r="B49" s="573"/>
      <c r="C49" s="573"/>
      <c r="D49" s="573"/>
      <c r="E49" s="573"/>
      <c r="F49" s="573"/>
      <c r="G49" s="573"/>
      <c r="H49" s="573"/>
      <c r="I49" s="573"/>
      <c r="J49" s="573"/>
      <c r="K49" s="573"/>
    </row>
    <row r="50" spans="1:11" ht="15.6" hidden="1" customHeight="1">
      <c r="A50" s="573"/>
      <c r="B50" s="573"/>
      <c r="C50" s="573"/>
      <c r="D50" s="573"/>
      <c r="E50" s="573"/>
      <c r="F50" s="573"/>
      <c r="G50" s="573"/>
      <c r="H50" s="573"/>
      <c r="I50" s="573"/>
      <c r="J50" s="573"/>
      <c r="K50" s="573"/>
    </row>
    <row r="51" spans="1:11" ht="15.6" hidden="1" customHeight="1">
      <c r="A51" s="573"/>
      <c r="B51" s="573"/>
      <c r="C51" s="573"/>
      <c r="D51" s="573"/>
      <c r="E51" s="573"/>
      <c r="F51" s="573"/>
      <c r="G51" s="573"/>
      <c r="H51" s="573"/>
      <c r="I51" s="573"/>
      <c r="J51" s="573"/>
      <c r="K51" s="573"/>
    </row>
    <row r="52" spans="1:11" ht="15.6" hidden="1" customHeight="1">
      <c r="A52" s="573"/>
      <c r="B52" s="573"/>
      <c r="C52" s="573"/>
      <c r="D52" s="573"/>
      <c r="E52" s="573"/>
      <c r="F52" s="573"/>
      <c r="G52" s="573"/>
      <c r="H52" s="573"/>
      <c r="I52" s="573"/>
      <c r="J52" s="573"/>
      <c r="K52" s="573"/>
    </row>
    <row r="53" spans="1:11" ht="15.6" hidden="1" customHeight="1">
      <c r="A53" s="573"/>
      <c r="B53" s="573"/>
      <c r="C53" s="573"/>
      <c r="D53" s="573"/>
      <c r="E53" s="573"/>
      <c r="F53" s="573"/>
      <c r="G53" s="573"/>
      <c r="H53" s="573"/>
      <c r="I53" s="573"/>
      <c r="J53" s="573"/>
      <c r="K53" s="573"/>
    </row>
    <row r="54" spans="1:11" ht="15.6" hidden="1" customHeight="1">
      <c r="A54" s="573"/>
      <c r="B54" s="573"/>
      <c r="C54" s="573"/>
      <c r="D54" s="573"/>
      <c r="E54" s="573"/>
      <c r="F54" s="573"/>
      <c r="G54" s="573"/>
      <c r="H54" s="573"/>
      <c r="I54" s="573"/>
      <c r="J54" s="573"/>
      <c r="K54" s="573"/>
    </row>
    <row r="55" spans="1:11" ht="15.6" hidden="1" customHeight="1">
      <c r="A55" s="573"/>
      <c r="B55" s="573"/>
      <c r="C55" s="573"/>
      <c r="D55" s="573"/>
      <c r="E55" s="573"/>
      <c r="F55" s="573"/>
      <c r="G55" s="573"/>
      <c r="H55" s="573"/>
      <c r="I55" s="573"/>
      <c r="J55" s="573"/>
      <c r="K55" s="573"/>
    </row>
    <row r="56" spans="1:11" ht="15.6" hidden="1" customHeight="1">
      <c r="A56" s="573"/>
      <c r="B56" s="573"/>
      <c r="C56" s="573"/>
      <c r="D56" s="573"/>
      <c r="E56" s="573"/>
      <c r="F56" s="573"/>
      <c r="G56" s="573"/>
      <c r="H56" s="573"/>
      <c r="I56" s="573"/>
      <c r="J56" s="573"/>
      <c r="K56" s="573"/>
    </row>
    <row r="57" spans="1:11" ht="15.6" hidden="1" customHeight="1">
      <c r="A57" s="573"/>
      <c r="B57" s="573"/>
      <c r="C57" s="573"/>
      <c r="D57" s="573"/>
      <c r="E57" s="573"/>
      <c r="F57" s="573"/>
      <c r="G57" s="573"/>
      <c r="H57" s="573"/>
      <c r="I57" s="573"/>
      <c r="J57" s="573"/>
      <c r="K57" s="573"/>
    </row>
    <row r="58" spans="1:11" ht="15.6" hidden="1" customHeight="1">
      <c r="A58" s="573"/>
      <c r="B58" s="573"/>
      <c r="C58" s="573"/>
      <c r="D58" s="573"/>
      <c r="E58" s="573"/>
      <c r="F58" s="573"/>
      <c r="G58" s="573"/>
      <c r="H58" s="573"/>
      <c r="I58" s="573"/>
      <c r="J58" s="573"/>
      <c r="K58" s="573"/>
    </row>
    <row r="59" spans="1:11" ht="15.6" hidden="1" customHeight="1">
      <c r="A59" s="573"/>
      <c r="B59" s="573"/>
      <c r="C59" s="573"/>
      <c r="D59" s="573"/>
      <c r="E59" s="573"/>
      <c r="F59" s="573"/>
      <c r="G59" s="573"/>
      <c r="H59" s="573"/>
      <c r="I59" s="573"/>
      <c r="J59" s="573"/>
      <c r="K59" s="573"/>
    </row>
    <row r="60" spans="1:11" ht="15.6" hidden="1" customHeight="1">
      <c r="A60" s="573"/>
      <c r="B60" s="573"/>
      <c r="C60" s="573"/>
      <c r="D60" s="573"/>
      <c r="E60" s="573"/>
      <c r="F60" s="573"/>
      <c r="G60" s="573"/>
      <c r="H60" s="573"/>
      <c r="I60" s="573"/>
      <c r="J60" s="573"/>
      <c r="K60" s="573"/>
    </row>
    <row r="61" spans="1:11" ht="15.6" hidden="1" customHeight="1">
      <c r="A61" s="573"/>
      <c r="B61" s="573"/>
      <c r="C61" s="573"/>
      <c r="D61" s="573"/>
      <c r="E61" s="573"/>
      <c r="F61" s="573"/>
      <c r="G61" s="573"/>
      <c r="H61" s="573"/>
      <c r="I61" s="573"/>
      <c r="J61" s="573"/>
      <c r="K61" s="573"/>
    </row>
    <row r="62" spans="1:11" ht="15.6" hidden="1" customHeight="1">
      <c r="A62" s="573"/>
      <c r="B62" s="573"/>
      <c r="C62" s="573"/>
      <c r="D62" s="573"/>
      <c r="E62" s="573"/>
      <c r="F62" s="573"/>
      <c r="G62" s="573"/>
      <c r="H62" s="573"/>
      <c r="I62" s="573"/>
      <c r="J62" s="573"/>
      <c r="K62" s="573"/>
    </row>
    <row r="63" spans="1:11" ht="15.6" hidden="1" customHeight="1">
      <c r="A63" s="573"/>
      <c r="B63" s="573"/>
      <c r="C63" s="573"/>
      <c r="D63" s="573"/>
      <c r="E63" s="573"/>
      <c r="F63" s="573"/>
      <c r="G63" s="573"/>
      <c r="H63" s="573"/>
      <c r="I63" s="573"/>
      <c r="J63" s="573"/>
      <c r="K63" s="573"/>
    </row>
    <row r="64" spans="1:11" ht="15.6" hidden="1" customHeight="1">
      <c r="A64" s="573"/>
      <c r="B64" s="573"/>
      <c r="C64" s="573"/>
      <c r="D64" s="573"/>
      <c r="E64" s="573"/>
      <c r="F64" s="573"/>
      <c r="G64" s="573"/>
      <c r="H64" s="573"/>
      <c r="I64" s="573"/>
      <c r="J64" s="573"/>
      <c r="K64" s="573"/>
    </row>
    <row r="65" spans="1:11" ht="15.6" hidden="1" customHeight="1">
      <c r="A65" s="573"/>
      <c r="B65" s="573"/>
      <c r="C65" s="573"/>
      <c r="D65" s="573"/>
      <c r="E65" s="573"/>
      <c r="F65" s="573"/>
      <c r="G65" s="573"/>
      <c r="H65" s="573"/>
      <c r="I65" s="573"/>
      <c r="J65" s="573"/>
      <c r="K65" s="573"/>
    </row>
    <row r="66" spans="1:11" ht="15.6" hidden="1" customHeight="1">
      <c r="A66" s="573"/>
      <c r="B66" s="573"/>
      <c r="C66" s="573"/>
      <c r="D66" s="573"/>
      <c r="E66" s="573"/>
      <c r="F66" s="573"/>
      <c r="G66" s="573"/>
      <c r="H66" s="573"/>
      <c r="I66" s="573"/>
      <c r="J66" s="573"/>
      <c r="K66" s="573"/>
    </row>
    <row r="67" spans="1:11" ht="15.6" hidden="1" customHeight="1">
      <c r="A67" s="573"/>
      <c r="B67" s="573"/>
      <c r="C67" s="573"/>
      <c r="D67" s="573"/>
      <c r="E67" s="573"/>
      <c r="F67" s="573"/>
      <c r="G67" s="573"/>
      <c r="H67" s="573"/>
      <c r="I67" s="573"/>
      <c r="J67" s="573"/>
      <c r="K67" s="573"/>
    </row>
    <row r="68" spans="1:11">
      <c r="A68" s="573"/>
      <c r="B68" s="573"/>
      <c r="C68" s="573"/>
      <c r="D68" s="573"/>
      <c r="E68" s="573"/>
      <c r="F68" s="573"/>
      <c r="G68" s="573"/>
      <c r="H68" s="573"/>
      <c r="I68" s="573"/>
      <c r="J68" s="573"/>
      <c r="K68" s="573"/>
    </row>
    <row r="69" spans="1:11">
      <c r="A69" s="573"/>
      <c r="B69" s="573"/>
      <c r="C69" s="573"/>
      <c r="D69" s="573"/>
      <c r="E69" s="573"/>
      <c r="F69" s="573"/>
      <c r="G69" s="573"/>
      <c r="H69" s="573"/>
      <c r="I69" s="573"/>
      <c r="J69" s="573"/>
      <c r="K69" s="573"/>
    </row>
    <row r="70" spans="1:11">
      <c r="A70" s="573"/>
      <c r="B70" s="573"/>
      <c r="C70" s="573"/>
      <c r="D70" s="573"/>
      <c r="E70" s="573"/>
      <c r="F70" s="573"/>
      <c r="G70" s="573"/>
      <c r="H70" s="573"/>
      <c r="I70" s="573"/>
      <c r="J70" s="573"/>
      <c r="K70" s="573"/>
    </row>
    <row r="71" spans="1:11">
      <c r="A71" s="573"/>
      <c r="B71" s="573"/>
      <c r="C71" s="573"/>
      <c r="D71" s="573"/>
      <c r="E71" s="573"/>
      <c r="F71" s="573"/>
      <c r="G71" s="573"/>
      <c r="H71" s="573"/>
      <c r="I71" s="573"/>
      <c r="J71" s="573"/>
      <c r="K71" s="573"/>
    </row>
    <row r="72" spans="1:11">
      <c r="A72" s="573"/>
      <c r="B72" s="573"/>
      <c r="C72" s="573"/>
      <c r="D72" s="573"/>
      <c r="E72" s="573"/>
      <c r="F72" s="573"/>
      <c r="G72" s="573"/>
      <c r="H72" s="573"/>
      <c r="I72" s="573"/>
      <c r="J72" s="573"/>
      <c r="K72" s="573"/>
    </row>
    <row r="73" spans="1:11">
      <c r="A73" s="573"/>
      <c r="B73" s="573"/>
      <c r="C73" s="573"/>
      <c r="D73" s="573"/>
      <c r="E73" s="573"/>
      <c r="F73" s="573"/>
      <c r="G73" s="573"/>
      <c r="H73" s="573"/>
      <c r="I73" s="573"/>
      <c r="J73" s="573"/>
      <c r="K73" s="573"/>
    </row>
    <row r="74" spans="1:11">
      <c r="A74" s="573"/>
      <c r="B74" s="573"/>
      <c r="C74" s="573"/>
      <c r="D74" s="573"/>
      <c r="E74" s="573"/>
      <c r="F74" s="573"/>
      <c r="G74" s="573"/>
      <c r="H74" s="573"/>
      <c r="I74" s="573"/>
      <c r="J74" s="573"/>
      <c r="K74" s="573"/>
    </row>
    <row r="75" spans="1:11">
      <c r="A75" s="573"/>
      <c r="B75" s="573"/>
      <c r="C75" s="573"/>
      <c r="D75" s="573"/>
      <c r="E75" s="573"/>
      <c r="F75" s="573"/>
      <c r="G75" s="573"/>
      <c r="H75" s="573"/>
      <c r="I75" s="573"/>
      <c r="J75" s="573"/>
      <c r="K75" s="573"/>
    </row>
    <row r="76" spans="1:11" ht="15.75">
      <c r="A76" s="631" t="s">
        <v>374</v>
      </c>
      <c r="B76" s="632"/>
      <c r="C76" s="632"/>
      <c r="D76" s="632"/>
      <c r="E76" s="632"/>
      <c r="F76" s="632"/>
      <c r="G76" s="632"/>
      <c r="H76" s="632"/>
      <c r="I76" s="632"/>
      <c r="J76" s="632"/>
      <c r="K76" s="632"/>
    </row>
    <row r="77" spans="1:11">
      <c r="A77" s="573"/>
      <c r="B77" s="573"/>
      <c r="C77" s="573"/>
      <c r="D77" s="573"/>
      <c r="E77" s="573"/>
      <c r="F77" s="573"/>
      <c r="G77" s="573"/>
      <c r="H77" s="573"/>
      <c r="I77" s="573"/>
      <c r="J77" s="573"/>
      <c r="K77" s="573"/>
    </row>
    <row r="78" spans="1:11">
      <c r="A78" s="573"/>
      <c r="B78" s="573"/>
      <c r="C78" s="573"/>
      <c r="D78" s="573"/>
      <c r="E78" s="573"/>
      <c r="F78" s="573"/>
      <c r="G78" s="573"/>
      <c r="H78" s="573"/>
      <c r="I78" s="573"/>
      <c r="J78" s="573"/>
      <c r="K78" s="573"/>
    </row>
    <row r="79" spans="1:11" s="640" customFormat="1" ht="15.75">
      <c r="A79" s="638" t="s">
        <v>1593</v>
      </c>
      <c r="B79" s="639"/>
      <c r="C79" s="639"/>
      <c r="D79" s="639"/>
      <c r="E79" s="639"/>
      <c r="F79" s="639"/>
      <c r="G79" s="639"/>
      <c r="H79" s="639"/>
      <c r="I79" s="639"/>
      <c r="J79" s="639"/>
      <c r="K79" s="639"/>
    </row>
    <row r="80" spans="1:11" s="640" customFormat="1">
      <c r="A80" s="573"/>
      <c r="B80" s="641"/>
      <c r="C80" s="641"/>
      <c r="D80" s="641"/>
      <c r="E80" s="641"/>
      <c r="F80" s="641"/>
      <c r="G80" s="641"/>
      <c r="H80" s="641"/>
      <c r="I80" s="641"/>
      <c r="J80" s="641"/>
      <c r="K80" s="641"/>
    </row>
    <row r="81" spans="1:16" s="640" customFormat="1">
      <c r="A81" s="573"/>
      <c r="B81" s="641"/>
      <c r="C81" s="641"/>
      <c r="D81" s="641"/>
      <c r="E81" s="641"/>
      <c r="F81" s="641"/>
      <c r="G81" s="641"/>
      <c r="H81" s="641"/>
      <c r="I81" s="641"/>
      <c r="J81" s="641"/>
      <c r="K81" s="641"/>
    </row>
    <row r="82" spans="1:16" s="640" customFormat="1">
      <c r="A82" s="573"/>
      <c r="B82" s="641"/>
      <c r="C82" s="641"/>
      <c r="D82" s="641"/>
      <c r="E82" s="641"/>
      <c r="F82" s="641"/>
      <c r="G82" s="641"/>
      <c r="H82" s="641"/>
      <c r="I82" s="641"/>
      <c r="J82" s="641"/>
      <c r="K82" s="641"/>
    </row>
    <row r="83" spans="1:16" s="640" customFormat="1">
      <c r="A83" s="573"/>
      <c r="B83" s="641"/>
      <c r="C83" s="641"/>
      <c r="D83" s="641"/>
      <c r="E83" s="641"/>
      <c r="F83" s="641"/>
      <c r="G83" s="641"/>
      <c r="H83" s="641"/>
      <c r="I83" s="641"/>
      <c r="J83" s="641"/>
      <c r="K83" s="641"/>
    </row>
    <row r="84" spans="1:16" s="640" customFormat="1">
      <c r="A84" s="573"/>
      <c r="B84" s="641"/>
      <c r="C84" s="641"/>
      <c r="D84" s="641"/>
      <c r="E84" s="641"/>
      <c r="F84" s="641"/>
      <c r="G84" s="641"/>
      <c r="H84" s="641"/>
      <c r="I84" s="641"/>
      <c r="J84" s="641"/>
      <c r="K84" s="641"/>
    </row>
    <row r="85" spans="1:16" s="640" customFormat="1">
      <c r="A85" s="573"/>
      <c r="B85" s="641"/>
      <c r="C85" s="641"/>
      <c r="D85" s="641"/>
      <c r="E85" s="641"/>
      <c r="F85" s="641"/>
      <c r="G85" s="641"/>
      <c r="H85" s="641"/>
      <c r="I85" s="641"/>
      <c r="J85" s="641"/>
      <c r="K85" s="641"/>
    </row>
    <row r="86" spans="1:16" s="640" customFormat="1">
      <c r="A86" s="573"/>
      <c r="B86" s="641"/>
      <c r="C86" s="641"/>
      <c r="D86" s="641"/>
      <c r="E86" s="641"/>
      <c r="F86" s="641"/>
      <c r="G86" s="641"/>
      <c r="H86" s="641"/>
      <c r="I86" s="641"/>
      <c r="J86" s="641"/>
      <c r="K86" s="641"/>
    </row>
    <row r="87" spans="1:16" s="640" customFormat="1">
      <c r="A87" s="573"/>
      <c r="B87" s="641"/>
      <c r="C87" s="641"/>
      <c r="D87" s="641"/>
      <c r="E87" s="641"/>
      <c r="F87" s="641"/>
      <c r="G87" s="641"/>
      <c r="H87" s="641"/>
      <c r="I87" s="641"/>
      <c r="J87" s="641"/>
      <c r="K87" s="641"/>
    </row>
    <row r="88" spans="1:16" s="640" customFormat="1">
      <c r="A88" s="573"/>
      <c r="B88" s="573"/>
      <c r="C88" s="573"/>
      <c r="D88" s="573"/>
      <c r="E88" s="573"/>
      <c r="F88" s="573"/>
      <c r="G88" s="573"/>
      <c r="H88" s="573"/>
      <c r="I88" s="573"/>
      <c r="J88" s="573"/>
      <c r="K88" s="573"/>
    </row>
    <row r="89" spans="1:16" s="640" customFormat="1">
      <c r="A89" s="573"/>
      <c r="B89" s="573"/>
      <c r="C89" s="573"/>
      <c r="D89" s="573"/>
      <c r="E89" s="573"/>
      <c r="F89" s="573"/>
      <c r="G89" s="573"/>
      <c r="H89" s="573"/>
      <c r="I89" s="573"/>
      <c r="J89" s="573"/>
      <c r="K89" s="573"/>
    </row>
    <row r="90" spans="1:16" s="640" customFormat="1">
      <c r="A90" s="642"/>
      <c r="B90" s="643"/>
      <c r="C90" s="643"/>
      <c r="D90" s="643"/>
      <c r="E90" s="643"/>
      <c r="F90" s="643"/>
      <c r="G90" s="643"/>
      <c r="H90" s="643"/>
      <c r="I90" s="643"/>
      <c r="J90" s="643"/>
      <c r="K90" s="643"/>
    </row>
    <row r="91" spans="1:16" s="640" customFormat="1">
      <c r="A91" s="642"/>
      <c r="B91" s="643"/>
      <c r="C91" s="643"/>
      <c r="D91" s="643"/>
      <c r="E91" s="643"/>
      <c r="F91" s="643"/>
      <c r="G91" s="643"/>
      <c r="H91" s="643"/>
      <c r="I91" s="643"/>
      <c r="J91" s="643"/>
      <c r="K91" s="643"/>
    </row>
    <row r="92" spans="1:16" s="640" customFormat="1" ht="28.5" customHeight="1">
      <c r="A92" s="1428" t="s">
        <v>375</v>
      </c>
      <c r="B92" s="1431" t="s">
        <v>1594</v>
      </c>
      <c r="C92" s="1431"/>
      <c r="D92" s="1431"/>
      <c r="E92" s="1431"/>
      <c r="F92" s="1431"/>
      <c r="L92" s="1428" t="s">
        <v>375</v>
      </c>
      <c r="M92" s="1432" t="str">
        <f>B92</f>
        <v>период регулирования, год</v>
      </c>
      <c r="N92" s="1432"/>
      <c r="O92" s="1432"/>
      <c r="P92" s="1433"/>
    </row>
    <row r="93" spans="1:16" s="640" customFormat="1" ht="21.75" customHeight="1">
      <c r="A93" s="1429"/>
      <c r="B93" s="1080">
        <v>2015</v>
      </c>
      <c r="C93" s="1434">
        <v>2016</v>
      </c>
      <c r="D93" s="1433"/>
      <c r="E93" s="1080">
        <v>2017</v>
      </c>
      <c r="F93" s="1080">
        <v>2018</v>
      </c>
      <c r="L93" s="1429"/>
      <c r="M93" s="1434">
        <f>C93</f>
        <v>2016</v>
      </c>
      <c r="N93" s="1433"/>
      <c r="O93" s="1080">
        <f>E93</f>
        <v>2017</v>
      </c>
      <c r="P93" s="1080">
        <f>F93</f>
        <v>2018</v>
      </c>
    </row>
    <row r="94" spans="1:16" s="640" customFormat="1" ht="58.5" customHeight="1">
      <c r="A94" s="1430"/>
      <c r="B94" s="1080" t="s">
        <v>1595</v>
      </c>
      <c r="C94" s="1080" t="s">
        <v>1615</v>
      </c>
      <c r="D94" s="1080" t="s">
        <v>1613</v>
      </c>
      <c r="E94" s="1080" t="s">
        <v>1614</v>
      </c>
      <c r="F94" s="1080" t="s">
        <v>382</v>
      </c>
      <c r="L94" s="1430"/>
      <c r="M94" s="1080" t="s">
        <v>1611</v>
      </c>
      <c r="N94" s="1080" t="s">
        <v>1612</v>
      </c>
      <c r="O94" s="1080" t="s">
        <v>1611</v>
      </c>
      <c r="P94" s="1080" t="s">
        <v>1596</v>
      </c>
    </row>
    <row r="95" spans="1:16" ht="36" customHeight="1">
      <c r="A95" s="644" t="s">
        <v>377</v>
      </c>
      <c r="B95" s="645">
        <f>SUM(B96:B110)</f>
        <v>0</v>
      </c>
      <c r="C95" s="645">
        <f>SUM(C96:C110)</f>
        <v>0</v>
      </c>
      <c r="D95" s="645">
        <f>SUM(D96:D110)</f>
        <v>0</v>
      </c>
      <c r="E95" s="645">
        <f>SUM(E96:E110)</f>
        <v>0</v>
      </c>
      <c r="F95" s="645">
        <f>SUM(F96:F110)</f>
        <v>0</v>
      </c>
      <c r="L95" s="644" t="s">
        <v>377</v>
      </c>
      <c r="M95" s="645">
        <f>SUM(M96:M110)</f>
        <v>0</v>
      </c>
      <c r="N95" s="645">
        <f>SUM(N96:N110)</f>
        <v>0</v>
      </c>
      <c r="O95" s="645">
        <f>SUM(O96:O110)</f>
        <v>0</v>
      </c>
      <c r="P95" s="645">
        <f>SUM(P96:P110)</f>
        <v>0</v>
      </c>
    </row>
    <row r="96" spans="1:16" ht="15" customHeight="1">
      <c r="A96" s="646" t="s">
        <v>378</v>
      </c>
      <c r="B96" s="645"/>
      <c r="C96" s="645"/>
      <c r="D96" s="645"/>
      <c r="E96" s="645"/>
      <c r="F96" s="645"/>
      <c r="L96" s="646" t="s">
        <v>378</v>
      </c>
      <c r="M96" s="645"/>
      <c r="N96" s="645"/>
      <c r="O96" s="645"/>
      <c r="P96" s="645"/>
    </row>
    <row r="97" spans="1:16" ht="15" customHeight="1">
      <c r="A97" s="647" t="s">
        <v>1597</v>
      </c>
      <c r="B97" s="648"/>
      <c r="C97" s="648"/>
      <c r="D97" s="648"/>
      <c r="E97" s="648"/>
      <c r="F97" s="648"/>
      <c r="L97" s="647" t="s">
        <v>1597</v>
      </c>
      <c r="M97" s="649"/>
      <c r="N97" s="649"/>
      <c r="O97" s="649"/>
      <c r="P97" s="649"/>
    </row>
    <row r="98" spans="1:16" ht="15" customHeight="1">
      <c r="A98" s="647" t="s">
        <v>1598</v>
      </c>
      <c r="B98" s="648"/>
      <c r="C98" s="648"/>
      <c r="D98" s="648"/>
      <c r="E98" s="648"/>
      <c r="F98" s="648"/>
      <c r="L98" s="647" t="s">
        <v>1598</v>
      </c>
      <c r="M98" s="649"/>
      <c r="N98" s="649"/>
      <c r="O98" s="649"/>
      <c r="P98" s="649"/>
    </row>
    <row r="99" spans="1:16" ht="15" customHeight="1">
      <c r="A99" s="647" t="s">
        <v>1599</v>
      </c>
      <c r="B99" s="648"/>
      <c r="C99" s="648"/>
      <c r="D99" s="648"/>
      <c r="E99" s="648"/>
      <c r="F99" s="648"/>
      <c r="L99" s="647" t="s">
        <v>1599</v>
      </c>
      <c r="M99" s="649"/>
      <c r="N99" s="649"/>
      <c r="O99" s="649"/>
      <c r="P99" s="649"/>
    </row>
    <row r="100" spans="1:16" ht="15" customHeight="1">
      <c r="A100" s="647" t="s">
        <v>1600</v>
      </c>
      <c r="B100" s="648"/>
      <c r="C100" s="648"/>
      <c r="D100" s="648"/>
      <c r="E100" s="648"/>
      <c r="F100" s="648"/>
      <c r="L100" s="647" t="s">
        <v>1600</v>
      </c>
      <c r="M100" s="649"/>
      <c r="N100" s="649"/>
      <c r="O100" s="649"/>
      <c r="P100" s="649"/>
    </row>
    <row r="101" spans="1:16" ht="15" customHeight="1">
      <c r="A101" s="647" t="s">
        <v>1601</v>
      </c>
      <c r="B101" s="648"/>
      <c r="C101" s="648"/>
      <c r="D101" s="648"/>
      <c r="E101" s="648"/>
      <c r="F101" s="648"/>
      <c r="L101" s="647" t="s">
        <v>1601</v>
      </c>
      <c r="M101" s="649"/>
      <c r="N101" s="649"/>
      <c r="O101" s="649"/>
      <c r="P101" s="649"/>
    </row>
    <row r="102" spans="1:16" ht="15" customHeight="1">
      <c r="A102" s="647" t="s">
        <v>1602</v>
      </c>
      <c r="B102" s="648"/>
      <c r="C102" s="648"/>
      <c r="D102" s="648"/>
      <c r="E102" s="648"/>
      <c r="F102" s="648"/>
      <c r="L102" s="647" t="s">
        <v>1602</v>
      </c>
      <c r="M102" s="649"/>
      <c r="N102" s="649"/>
      <c r="O102" s="649"/>
      <c r="P102" s="649"/>
    </row>
    <row r="103" spans="1:16" ht="15" customHeight="1">
      <c r="A103" s="647" t="s">
        <v>1603</v>
      </c>
      <c r="B103" s="648"/>
      <c r="C103" s="648"/>
      <c r="D103" s="648"/>
      <c r="E103" s="648"/>
      <c r="F103" s="648"/>
      <c r="L103" s="647" t="s">
        <v>1603</v>
      </c>
      <c r="M103" s="649"/>
      <c r="N103" s="649"/>
      <c r="O103" s="649"/>
      <c r="P103" s="649"/>
    </row>
    <row r="104" spans="1:16" ht="15" customHeight="1">
      <c r="A104" s="647" t="s">
        <v>1604</v>
      </c>
      <c r="B104" s="648"/>
      <c r="C104" s="648"/>
      <c r="D104" s="648"/>
      <c r="E104" s="648"/>
      <c r="F104" s="648"/>
      <c r="L104" s="647" t="s">
        <v>1604</v>
      </c>
      <c r="M104" s="649"/>
      <c r="N104" s="649"/>
      <c r="O104" s="649"/>
      <c r="P104" s="649"/>
    </row>
    <row r="105" spans="1:16" ht="15" customHeight="1">
      <c r="A105" s="647" t="s">
        <v>1605</v>
      </c>
      <c r="B105" s="648"/>
      <c r="C105" s="648"/>
      <c r="D105" s="648"/>
      <c r="E105" s="648"/>
      <c r="F105" s="648"/>
      <c r="L105" s="647" t="s">
        <v>1605</v>
      </c>
      <c r="M105" s="649"/>
      <c r="N105" s="649"/>
      <c r="O105" s="649"/>
      <c r="P105" s="649"/>
    </row>
    <row r="106" spans="1:16" ht="15" customHeight="1">
      <c r="A106" s="647" t="s">
        <v>1606</v>
      </c>
      <c r="B106" s="648"/>
      <c r="C106" s="648"/>
      <c r="D106" s="648"/>
      <c r="E106" s="648"/>
      <c r="F106" s="648"/>
      <c r="L106" s="647" t="s">
        <v>1606</v>
      </c>
      <c r="M106" s="649"/>
      <c r="N106" s="649"/>
      <c r="O106" s="649"/>
      <c r="P106" s="649"/>
    </row>
    <row r="107" spans="1:16" ht="15" customHeight="1">
      <c r="A107" s="647" t="s">
        <v>1607</v>
      </c>
      <c r="B107" s="648"/>
      <c r="C107" s="648"/>
      <c r="D107" s="648"/>
      <c r="E107" s="648"/>
      <c r="F107" s="648"/>
      <c r="L107" s="647" t="s">
        <v>1607</v>
      </c>
      <c r="M107" s="649"/>
      <c r="N107" s="649"/>
      <c r="O107" s="649"/>
      <c r="P107" s="649"/>
    </row>
    <row r="108" spans="1:16" ht="15" customHeight="1">
      <c r="A108" s="647" t="s">
        <v>1608</v>
      </c>
      <c r="B108" s="648"/>
      <c r="C108" s="648"/>
      <c r="D108" s="648"/>
      <c r="E108" s="648"/>
      <c r="F108" s="648"/>
      <c r="L108" s="647" t="s">
        <v>1608</v>
      </c>
      <c r="M108" s="649"/>
      <c r="N108" s="649"/>
      <c r="O108" s="649"/>
      <c r="P108" s="649"/>
    </row>
    <row r="109" spans="1:16" ht="15" customHeight="1">
      <c r="A109" s="647" t="s">
        <v>1609</v>
      </c>
      <c r="B109" s="648"/>
      <c r="C109" s="648"/>
      <c r="D109" s="648"/>
      <c r="E109" s="648"/>
      <c r="F109" s="648"/>
      <c r="L109" s="647" t="s">
        <v>1609</v>
      </c>
      <c r="M109" s="649"/>
      <c r="N109" s="649"/>
      <c r="O109" s="649"/>
      <c r="P109" s="649"/>
    </row>
    <row r="110" spans="1:16" ht="15" customHeight="1">
      <c r="A110" s="647" t="s">
        <v>1610</v>
      </c>
      <c r="B110" s="648"/>
      <c r="C110" s="648"/>
      <c r="D110" s="648"/>
      <c r="E110" s="648"/>
      <c r="F110" s="648"/>
      <c r="L110" s="647" t="s">
        <v>1610</v>
      </c>
      <c r="M110" s="649"/>
      <c r="N110" s="649"/>
      <c r="O110" s="649"/>
      <c r="P110" s="649"/>
    </row>
    <row r="111" spans="1:16" ht="48" customHeight="1">
      <c r="A111" s="644" t="s">
        <v>379</v>
      </c>
      <c r="B111" s="645">
        <f>SUM(B112:B126)</f>
        <v>0</v>
      </c>
      <c r="C111" s="645">
        <f>SUM(C112:C126)</f>
        <v>0</v>
      </c>
      <c r="D111" s="645">
        <f>SUM(D112:D126)</f>
        <v>0</v>
      </c>
      <c r="E111" s="645">
        <f>SUM(E112:E126)</f>
        <v>0</v>
      </c>
      <c r="F111" s="645">
        <f>SUM(F112:F126)</f>
        <v>0</v>
      </c>
      <c r="L111" s="644" t="s">
        <v>379</v>
      </c>
      <c r="M111" s="645">
        <f>SUM(M112:M126)</f>
        <v>0</v>
      </c>
      <c r="N111" s="645">
        <f>SUM(N112:N126)</f>
        <v>0</v>
      </c>
      <c r="O111" s="645">
        <f>SUM(O112:O126)</f>
        <v>0</v>
      </c>
      <c r="P111" s="645">
        <f>SUM(P112:P126)</f>
        <v>0</v>
      </c>
    </row>
    <row r="112" spans="1:16" ht="15" customHeight="1">
      <c r="A112" s="646" t="s">
        <v>378</v>
      </c>
      <c r="B112" s="645"/>
      <c r="C112" s="645"/>
      <c r="D112" s="645"/>
      <c r="E112" s="645"/>
      <c r="F112" s="645"/>
      <c r="L112" s="646" t="s">
        <v>378</v>
      </c>
      <c r="M112" s="645"/>
      <c r="N112" s="645"/>
      <c r="O112" s="645"/>
      <c r="P112" s="645"/>
    </row>
    <row r="113" spans="1:16" ht="15" customHeight="1">
      <c r="A113" s="647" t="s">
        <v>1597</v>
      </c>
      <c r="B113" s="648"/>
      <c r="C113" s="648"/>
      <c r="D113" s="648"/>
      <c r="E113" s="648"/>
      <c r="F113" s="648"/>
      <c r="L113" s="647" t="s">
        <v>1597</v>
      </c>
      <c r="M113" s="649"/>
      <c r="N113" s="649"/>
      <c r="O113" s="649"/>
      <c r="P113" s="649"/>
    </row>
    <row r="114" spans="1:16" ht="15" customHeight="1">
      <c r="A114" s="647" t="s">
        <v>1598</v>
      </c>
      <c r="B114" s="648"/>
      <c r="C114" s="648"/>
      <c r="D114" s="648"/>
      <c r="E114" s="648"/>
      <c r="F114" s="648"/>
      <c r="L114" s="647" t="s">
        <v>1598</v>
      </c>
      <c r="M114" s="649"/>
      <c r="N114" s="649"/>
      <c r="O114" s="649"/>
      <c r="P114" s="649"/>
    </row>
    <row r="115" spans="1:16" ht="15" customHeight="1">
      <c r="A115" s="647" t="s">
        <v>1599</v>
      </c>
      <c r="B115" s="648"/>
      <c r="C115" s="648"/>
      <c r="D115" s="648"/>
      <c r="E115" s="648"/>
      <c r="F115" s="648"/>
      <c r="L115" s="647" t="s">
        <v>1599</v>
      </c>
      <c r="M115" s="649"/>
      <c r="N115" s="649"/>
      <c r="O115" s="649"/>
      <c r="P115" s="649"/>
    </row>
    <row r="116" spans="1:16" ht="15" customHeight="1">
      <c r="A116" s="647" t="s">
        <v>1600</v>
      </c>
      <c r="B116" s="648"/>
      <c r="C116" s="648"/>
      <c r="D116" s="648"/>
      <c r="E116" s="648"/>
      <c r="F116" s="648"/>
      <c r="L116" s="647" t="s">
        <v>1600</v>
      </c>
      <c r="M116" s="649"/>
      <c r="N116" s="649"/>
      <c r="O116" s="649"/>
      <c r="P116" s="649"/>
    </row>
    <row r="117" spans="1:16" ht="15" customHeight="1">
      <c r="A117" s="647" t="s">
        <v>1601</v>
      </c>
      <c r="B117" s="648"/>
      <c r="C117" s="648"/>
      <c r="D117" s="648"/>
      <c r="E117" s="648"/>
      <c r="F117" s="648"/>
      <c r="L117" s="647" t="s">
        <v>1601</v>
      </c>
      <c r="M117" s="649"/>
      <c r="N117" s="649"/>
      <c r="O117" s="649"/>
      <c r="P117" s="649"/>
    </row>
    <row r="118" spans="1:16" ht="15" customHeight="1">
      <c r="A118" s="647" t="s">
        <v>1602</v>
      </c>
      <c r="B118" s="648"/>
      <c r="C118" s="648"/>
      <c r="D118" s="648"/>
      <c r="E118" s="648"/>
      <c r="F118" s="648"/>
      <c r="L118" s="647" t="s">
        <v>1602</v>
      </c>
      <c r="M118" s="649"/>
      <c r="N118" s="649"/>
      <c r="O118" s="649"/>
      <c r="P118" s="649"/>
    </row>
    <row r="119" spans="1:16" ht="15" customHeight="1">
      <c r="A119" s="647" t="s">
        <v>1603</v>
      </c>
      <c r="B119" s="648"/>
      <c r="C119" s="648"/>
      <c r="D119" s="648"/>
      <c r="E119" s="648"/>
      <c r="F119" s="648"/>
      <c r="L119" s="647" t="s">
        <v>1603</v>
      </c>
      <c r="M119" s="649"/>
      <c r="N119" s="649"/>
      <c r="O119" s="649"/>
      <c r="P119" s="649"/>
    </row>
    <row r="120" spans="1:16" ht="15" customHeight="1">
      <c r="A120" s="647" t="s">
        <v>1604</v>
      </c>
      <c r="B120" s="648"/>
      <c r="C120" s="648"/>
      <c r="D120" s="648"/>
      <c r="E120" s="648"/>
      <c r="F120" s="648"/>
      <c r="L120" s="647" t="s">
        <v>1604</v>
      </c>
      <c r="M120" s="649"/>
      <c r="N120" s="649"/>
      <c r="O120" s="649"/>
      <c r="P120" s="649"/>
    </row>
    <row r="121" spans="1:16" ht="15" customHeight="1">
      <c r="A121" s="647" t="s">
        <v>1605</v>
      </c>
      <c r="B121" s="648"/>
      <c r="C121" s="648"/>
      <c r="D121" s="648"/>
      <c r="E121" s="648"/>
      <c r="F121" s="648"/>
      <c r="L121" s="647" t="s">
        <v>1605</v>
      </c>
      <c r="M121" s="649"/>
      <c r="N121" s="649"/>
      <c r="O121" s="649"/>
      <c r="P121" s="649"/>
    </row>
    <row r="122" spans="1:16" ht="15" customHeight="1">
      <c r="A122" s="647" t="s">
        <v>1606</v>
      </c>
      <c r="B122" s="648"/>
      <c r="C122" s="648"/>
      <c r="D122" s="648"/>
      <c r="E122" s="648"/>
      <c r="F122" s="648"/>
      <c r="L122" s="647" t="s">
        <v>1606</v>
      </c>
      <c r="M122" s="649"/>
      <c r="N122" s="649"/>
      <c r="O122" s="649"/>
      <c r="P122" s="649"/>
    </row>
    <row r="123" spans="1:16" ht="15" customHeight="1">
      <c r="A123" s="647" t="s">
        <v>1607</v>
      </c>
      <c r="B123" s="648"/>
      <c r="C123" s="648"/>
      <c r="D123" s="648"/>
      <c r="E123" s="648"/>
      <c r="F123" s="648"/>
      <c r="L123" s="647" t="s">
        <v>1607</v>
      </c>
      <c r="M123" s="649"/>
      <c r="N123" s="649"/>
      <c r="O123" s="649"/>
      <c r="P123" s="649"/>
    </row>
    <row r="124" spans="1:16" ht="15" customHeight="1">
      <c r="A124" s="647" t="s">
        <v>1608</v>
      </c>
      <c r="B124" s="648"/>
      <c r="C124" s="648"/>
      <c r="D124" s="648"/>
      <c r="E124" s="648"/>
      <c r="F124" s="648"/>
      <c r="L124" s="647" t="s">
        <v>1608</v>
      </c>
      <c r="M124" s="649"/>
      <c r="N124" s="649"/>
      <c r="O124" s="649"/>
      <c r="P124" s="649"/>
    </row>
    <row r="125" spans="1:16" ht="15" customHeight="1">
      <c r="A125" s="647" t="s">
        <v>1609</v>
      </c>
      <c r="B125" s="648"/>
      <c r="C125" s="648"/>
      <c r="D125" s="648"/>
      <c r="E125" s="648"/>
      <c r="F125" s="648"/>
      <c r="L125" s="647" t="s">
        <v>1609</v>
      </c>
      <c r="M125" s="649"/>
      <c r="N125" s="649"/>
      <c r="O125" s="649"/>
      <c r="P125" s="649"/>
    </row>
    <row r="126" spans="1:16" ht="15" customHeight="1">
      <c r="A126" s="647" t="s">
        <v>1610</v>
      </c>
      <c r="B126" s="573"/>
      <c r="C126" s="573"/>
      <c r="D126" s="573"/>
      <c r="E126" s="573"/>
      <c r="F126" s="573"/>
      <c r="L126" s="647" t="s">
        <v>1610</v>
      </c>
      <c r="M126" s="649"/>
      <c r="N126" s="649"/>
      <c r="O126" s="649"/>
      <c r="P126" s="649"/>
    </row>
    <row r="127" spans="1:16" ht="33" customHeight="1">
      <c r="A127" s="644" t="s">
        <v>380</v>
      </c>
      <c r="B127" s="645">
        <f>IF(B95=0,0,B111/B95*100)</f>
        <v>0</v>
      </c>
      <c r="C127" s="645">
        <f>IF(C95=0,0,C111/C95*100)</f>
        <v>0</v>
      </c>
      <c r="D127" s="645">
        <f>IF(D95=0,0,D111/D95*100)</f>
        <v>0</v>
      </c>
      <c r="E127" s="645">
        <f>IF(E95=0,0,E111/E95*100)</f>
        <v>0</v>
      </c>
      <c r="F127" s="645">
        <f>IF(F95=0,0,F111/F95*100)</f>
        <v>0</v>
      </c>
      <c r="L127" s="644" t="s">
        <v>380</v>
      </c>
      <c r="M127" s="645">
        <f>IF(M95=0,0,M111/M95*100)</f>
        <v>0</v>
      </c>
      <c r="N127" s="645">
        <f>IF(N95=0,0,N111/N95*100)</f>
        <v>0</v>
      </c>
      <c r="O127" s="645">
        <f>IF(O95=0,0,O111/O95*100)</f>
        <v>0</v>
      </c>
      <c r="P127" s="645">
        <f>IF(P95=0,0,P111/P95*100)</f>
        <v>0</v>
      </c>
    </row>
    <row r="128" spans="1:16" s="627" customFormat="1" ht="15" customHeight="1">
      <c r="A128" s="650"/>
      <c r="B128" s="643"/>
      <c r="C128" s="643"/>
      <c r="D128" s="643"/>
      <c r="E128" s="643"/>
      <c r="F128" s="643"/>
      <c r="G128" s="643"/>
      <c r="H128" s="643"/>
      <c r="I128" s="643"/>
    </row>
    <row r="129" spans="1:9" s="640" customFormat="1" ht="15" customHeight="1">
      <c r="A129" s="650"/>
      <c r="B129" s="643"/>
      <c r="C129" s="643"/>
      <c r="D129" s="643"/>
      <c r="E129" s="643"/>
      <c r="F129" s="643"/>
      <c r="G129" s="643"/>
      <c r="H129" s="643"/>
      <c r="I129" s="643"/>
    </row>
    <row r="130" spans="1:9" s="640" customFormat="1" ht="43.5" customHeight="1">
      <c r="A130" s="651"/>
      <c r="B130" s="643"/>
      <c r="C130" s="643"/>
      <c r="D130" s="643"/>
      <c r="E130" s="643"/>
      <c r="F130" s="643"/>
      <c r="G130" s="643"/>
      <c r="H130" s="643"/>
      <c r="I130" s="643"/>
    </row>
    <row r="131" spans="1:9" s="640" customFormat="1" ht="15" customHeight="1">
      <c r="A131" s="650"/>
      <c r="B131" s="643"/>
      <c r="C131" s="643"/>
      <c r="D131" s="643"/>
      <c r="E131" s="643"/>
      <c r="F131" s="643"/>
      <c r="G131" s="643"/>
      <c r="H131" s="643"/>
      <c r="I131" s="643"/>
    </row>
  </sheetData>
  <sheetProtection password="F66E" sheet="1" objects="1" scenarios="1" formatCells="0" formatColumns="0" formatRows="0" insertRows="0"/>
  <mergeCells count="20">
    <mergeCell ref="L92:L94"/>
    <mergeCell ref="M92:P92"/>
    <mergeCell ref="C93:D93"/>
    <mergeCell ref="M93:N93"/>
    <mergeCell ref="H9:H11"/>
    <mergeCell ref="I9:K9"/>
    <mergeCell ref="I10:J10"/>
    <mergeCell ref="K10:K11"/>
    <mergeCell ref="A92:A94"/>
    <mergeCell ref="B92:F92"/>
    <mergeCell ref="A1:K1"/>
    <mergeCell ref="A3:K3"/>
    <mergeCell ref="A5:K5"/>
    <mergeCell ref="A9:A11"/>
    <mergeCell ref="B9:B11"/>
    <mergeCell ref="C9:C11"/>
    <mergeCell ref="D9:D11"/>
    <mergeCell ref="E9:E11"/>
    <mergeCell ref="F9:F11"/>
    <mergeCell ref="G9:G11"/>
  </mergeCells>
  <pageMargins left="0.51181102362204722" right="0" top="0.74803149606299213" bottom="0.35433070866141736" header="0.11811023622047245" footer="0.11811023622047245"/>
  <pageSetup paperSize="9" scale="80" orientation="landscape" r:id="rId1"/>
  <rowBreaks count="3" manualBreakCount="3">
    <brk id="66" max="8" man="1"/>
    <brk id="86" max="8" man="1"/>
    <brk id="13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4">
    <pageSetUpPr fitToPage="1"/>
  </sheetPr>
  <dimension ref="A1:S369"/>
  <sheetViews>
    <sheetView tabSelected="1" zoomScale="90" zoomScaleNormal="90" workbookViewId="0">
      <pane xSplit="2" ySplit="9" topLeftCell="C343" activePane="bottomRight" state="frozen"/>
      <selection pane="topRight" activeCell="C1" sqref="C1"/>
      <selection pane="bottomLeft" activeCell="A10" sqref="A10"/>
      <selection pane="bottomRight" activeCell="C288" sqref="C288:H288"/>
    </sheetView>
  </sheetViews>
  <sheetFormatPr defaultColWidth="10.28515625" defaultRowHeight="15.75" outlineLevelRow="1"/>
  <cols>
    <col min="1" max="1" width="10.28515625" style="14" customWidth="1"/>
    <col min="2" max="2" width="70.42578125" style="14" customWidth="1"/>
    <col min="3" max="3" width="21.42578125" style="14" customWidth="1"/>
    <col min="4" max="4" width="22.28515625" style="14" customWidth="1"/>
    <col min="5" max="5" width="19.85546875" style="14" customWidth="1"/>
    <col min="6" max="6" width="19.28515625" style="14" customWidth="1"/>
    <col min="7" max="7" width="21.7109375" style="14" customWidth="1"/>
    <col min="8" max="8" width="21.140625" style="14" customWidth="1"/>
    <col min="9" max="9" width="18.42578125" style="14" customWidth="1"/>
    <col min="10" max="10" width="17.85546875" style="14" customWidth="1"/>
    <col min="11" max="11" width="15.85546875" style="14" customWidth="1"/>
    <col min="12" max="12" width="10.28515625" style="14" hidden="1" customWidth="1"/>
    <col min="13" max="13" width="70.42578125" style="14" hidden="1" customWidth="1"/>
    <col min="14" max="14" width="21.42578125" style="14" hidden="1" customWidth="1"/>
    <col min="15" max="15" width="22.28515625" style="14" hidden="1" customWidth="1"/>
    <col min="16" max="16" width="19.85546875" style="14" hidden="1" customWidth="1"/>
    <col min="17" max="17" width="19.28515625" style="14" hidden="1" customWidth="1"/>
    <col min="18" max="18" width="21.7109375" style="14" hidden="1" customWidth="1"/>
    <col min="19" max="19" width="21.140625" style="14" hidden="1" customWidth="1"/>
    <col min="20" max="20" width="10.28515625" style="14" customWidth="1"/>
    <col min="21" max="16384" width="10.28515625" style="14"/>
  </cols>
  <sheetData>
    <row r="1" spans="1:19" ht="19.5">
      <c r="A1" s="1617" t="s">
        <v>1792</v>
      </c>
      <c r="B1" s="1617"/>
      <c r="C1" s="1617"/>
      <c r="D1" s="1617"/>
      <c r="E1" s="1260"/>
      <c r="F1" s="1260"/>
      <c r="G1" s="1260"/>
      <c r="H1" s="1260"/>
      <c r="I1" s="1260"/>
      <c r="J1" s="664"/>
      <c r="L1" s="1617" t="s">
        <v>1792</v>
      </c>
      <c r="M1" s="1617"/>
      <c r="N1" s="1617"/>
      <c r="O1" s="1617"/>
      <c r="P1" s="1260"/>
      <c r="Q1" s="1260"/>
      <c r="R1" s="1260"/>
      <c r="S1" s="1260"/>
    </row>
    <row r="2" spans="1:19" ht="19.5">
      <c r="A2" s="665"/>
      <c r="B2" s="665"/>
      <c r="C2" s="665"/>
      <c r="D2" s="665"/>
      <c r="E2" s="1261"/>
      <c r="F2" s="1261"/>
      <c r="G2" s="1261"/>
      <c r="H2" s="1261"/>
      <c r="I2" s="1261"/>
      <c r="J2" s="664"/>
      <c r="L2" s="665"/>
      <c r="M2" s="665"/>
      <c r="N2" s="665"/>
      <c r="O2" s="665"/>
      <c r="P2" s="1261"/>
      <c r="Q2" s="1261"/>
      <c r="R2" s="1261"/>
      <c r="S2" s="1261"/>
    </row>
    <row r="3" spans="1:19">
      <c r="A3" s="1613" t="str">
        <f>Титульный!B10</f>
        <v xml:space="preserve"> </v>
      </c>
      <c r="B3" s="1613"/>
      <c r="C3" s="1613"/>
      <c r="D3" s="1613"/>
      <c r="E3" s="1262"/>
      <c r="F3" s="1262"/>
      <c r="G3" s="1262"/>
      <c r="H3" s="1262"/>
      <c r="I3" s="1262"/>
      <c r="J3" s="666"/>
      <c r="L3" s="1613" t="str">
        <f>A3</f>
        <v xml:space="preserve"> </v>
      </c>
      <c r="M3" s="1613"/>
      <c r="N3" s="1613"/>
      <c r="O3" s="1613"/>
      <c r="P3" s="1262"/>
      <c r="Q3" s="1262"/>
      <c r="R3" s="1262"/>
      <c r="S3" s="1262"/>
    </row>
    <row r="4" spans="1:19">
      <c r="A4" s="1614" t="str">
        <f>Титульный!B21</f>
        <v/>
      </c>
      <c r="B4" s="1614"/>
      <c r="C4" s="1614"/>
      <c r="D4" s="1614"/>
      <c r="E4" s="1262"/>
      <c r="F4" s="1262"/>
      <c r="G4" s="1262"/>
      <c r="H4" s="1262"/>
      <c r="I4" s="1262"/>
      <c r="J4" s="666"/>
      <c r="L4" s="1614" t="str">
        <f>A4</f>
        <v/>
      </c>
      <c r="M4" s="1614"/>
      <c r="N4" s="1614"/>
      <c r="O4" s="1614"/>
      <c r="P4" s="1262"/>
      <c r="Q4" s="1262"/>
      <c r="R4" s="1262"/>
      <c r="S4" s="1262"/>
    </row>
    <row r="5" spans="1:19">
      <c r="A5" s="754"/>
      <c r="B5" s="754"/>
      <c r="C5" s="754"/>
      <c r="D5" s="754"/>
      <c r="E5" s="1262"/>
      <c r="F5" s="1262"/>
      <c r="G5" s="1262"/>
      <c r="H5" s="1262"/>
      <c r="I5" s="1262"/>
      <c r="J5" s="666"/>
      <c r="L5" s="754"/>
      <c r="M5" s="754"/>
      <c r="N5" s="754"/>
      <c r="O5" s="754"/>
      <c r="P5" s="1262"/>
      <c r="Q5" s="1262"/>
      <c r="R5" s="1262"/>
      <c r="S5" s="1262"/>
    </row>
    <row r="6" spans="1:19">
      <c r="A6" s="667" t="s">
        <v>199</v>
      </c>
      <c r="B6" s="752">
        <f>Титульный!B6</f>
        <v>0</v>
      </c>
      <c r="C6" s="753" t="s">
        <v>200</v>
      </c>
      <c r="D6" s="668">
        <f>Титульный!B7</f>
        <v>0</v>
      </c>
      <c r="F6" s="1263"/>
      <c r="G6" s="1264"/>
      <c r="I6" s="1264"/>
      <c r="J6" s="670"/>
      <c r="L6" s="667" t="s">
        <v>199</v>
      </c>
      <c r="M6" s="752">
        <f>B6</f>
        <v>0</v>
      </c>
      <c r="N6" s="753" t="s">
        <v>200</v>
      </c>
      <c r="O6" s="668">
        <f>D6</f>
        <v>0</v>
      </c>
      <c r="Q6" s="1263"/>
      <c r="R6" s="1264"/>
    </row>
    <row r="7" spans="1:19">
      <c r="A7" s="667"/>
      <c r="B7" s="752"/>
      <c r="C7" s="753"/>
      <c r="D7" s="669" t="s">
        <v>588</v>
      </c>
      <c r="F7" s="1263"/>
      <c r="G7" s="1264"/>
      <c r="H7" s="1264"/>
      <c r="I7" s="1264"/>
      <c r="J7" s="670"/>
      <c r="L7" s="667"/>
      <c r="M7" s="752"/>
      <c r="N7" s="753"/>
      <c r="O7" s="669" t="s">
        <v>588</v>
      </c>
      <c r="Q7" s="1263"/>
      <c r="R7" s="1264"/>
      <c r="S7" s="1264"/>
    </row>
    <row r="8" spans="1:19" ht="25.5" customHeight="1">
      <c r="A8" s="1588"/>
      <c r="B8" s="1590" t="s">
        <v>698</v>
      </c>
      <c r="C8" s="751">
        <v>2016</v>
      </c>
      <c r="D8" s="671">
        <f>C8+2</f>
        <v>2018</v>
      </c>
      <c r="L8" s="1615"/>
      <c r="M8" s="1590" t="s">
        <v>698</v>
      </c>
      <c r="N8" s="1597" t="s">
        <v>1793</v>
      </c>
      <c r="O8" s="1597" t="s">
        <v>1794</v>
      </c>
    </row>
    <row r="9" spans="1:19" ht="45.75" customHeight="1">
      <c r="A9" s="1589"/>
      <c r="B9" s="1591"/>
      <c r="C9" s="1342" t="s">
        <v>376</v>
      </c>
      <c r="D9" s="755" t="s">
        <v>1928</v>
      </c>
      <c r="L9" s="1616"/>
      <c r="M9" s="1591"/>
      <c r="N9" s="1618"/>
      <c r="O9" s="1618"/>
    </row>
    <row r="10" spans="1:19">
      <c r="A10" s="672" t="s">
        <v>611</v>
      </c>
      <c r="B10" s="673" t="s">
        <v>699</v>
      </c>
      <c r="C10" s="674">
        <f t="shared" ref="C10:D10" si="0">C11+C19+C32+C38+C45</f>
        <v>0</v>
      </c>
      <c r="D10" s="674">
        <f t="shared" si="0"/>
        <v>0</v>
      </c>
      <c r="L10" s="1353" t="s">
        <v>611</v>
      </c>
      <c r="M10" s="673" t="s">
        <v>699</v>
      </c>
      <c r="N10" s="1265"/>
      <c r="O10" s="674">
        <f t="shared" ref="O10" si="1">O11+O19+O32+O38+O45</f>
        <v>0</v>
      </c>
    </row>
    <row r="11" spans="1:19" ht="18.75">
      <c r="A11" s="675" t="s">
        <v>222</v>
      </c>
      <c r="B11" s="676" t="s">
        <v>1660</v>
      </c>
      <c r="C11" s="677">
        <f t="shared" ref="C11:D11" si="2">C12+C13+C14+C15</f>
        <v>0</v>
      </c>
      <c r="D11" s="677">
        <f t="shared" si="2"/>
        <v>0</v>
      </c>
      <c r="L11" s="1266" t="s">
        <v>222</v>
      </c>
      <c r="M11" s="676" t="s">
        <v>1660</v>
      </c>
      <c r="N11" s="1267"/>
      <c r="O11" s="677">
        <f t="shared" ref="O11" si="3">O12+O13+O14+O15</f>
        <v>0</v>
      </c>
    </row>
    <row r="12" spans="1:19" ht="18.75">
      <c r="A12" s="678" t="s">
        <v>224</v>
      </c>
      <c r="B12" s="679" t="s">
        <v>700</v>
      </c>
      <c r="C12" s="680"/>
      <c r="D12" s="680"/>
      <c r="L12" s="1354" t="s">
        <v>224</v>
      </c>
      <c r="M12" s="679" t="s">
        <v>700</v>
      </c>
      <c r="N12" s="161"/>
      <c r="O12" s="161"/>
    </row>
    <row r="13" spans="1:19" ht="18.75">
      <c r="A13" s="678" t="s">
        <v>226</v>
      </c>
      <c r="B13" s="681" t="s">
        <v>1661</v>
      </c>
      <c r="C13" s="680"/>
      <c r="D13" s="680"/>
      <c r="L13" s="1354" t="s">
        <v>226</v>
      </c>
      <c r="M13" s="681" t="s">
        <v>1661</v>
      </c>
      <c r="N13" s="161"/>
      <c r="O13" s="161"/>
    </row>
    <row r="14" spans="1:19" ht="18.75">
      <c r="A14" s="678" t="s">
        <v>634</v>
      </c>
      <c r="B14" s="681" t="s">
        <v>701</v>
      </c>
      <c r="C14" s="680"/>
      <c r="D14" s="680"/>
      <c r="L14" s="1354" t="s">
        <v>634</v>
      </c>
      <c r="M14" s="681" t="s">
        <v>701</v>
      </c>
      <c r="N14" s="161"/>
      <c r="O14" s="161"/>
    </row>
    <row r="15" spans="1:19" ht="18.75">
      <c r="A15" s="678" t="s">
        <v>636</v>
      </c>
      <c r="B15" s="681" t="s">
        <v>702</v>
      </c>
      <c r="C15" s="682">
        <f t="shared" ref="C15:D15" si="4">C16+C17+C18</f>
        <v>0</v>
      </c>
      <c r="D15" s="682">
        <f t="shared" si="4"/>
        <v>0</v>
      </c>
      <c r="L15" s="1354" t="s">
        <v>636</v>
      </c>
      <c r="M15" s="681" t="s">
        <v>702</v>
      </c>
      <c r="N15" s="1268"/>
      <c r="O15" s="682">
        <f t="shared" ref="O15" si="5">O16+O17+O18</f>
        <v>0</v>
      </c>
    </row>
    <row r="16" spans="1:19" ht="18.75">
      <c r="A16" s="678" t="s">
        <v>703</v>
      </c>
      <c r="B16" s="681" t="s">
        <v>704</v>
      </c>
      <c r="C16" s="680"/>
      <c r="D16" s="680"/>
      <c r="L16" s="1354" t="s">
        <v>703</v>
      </c>
      <c r="M16" s="681" t="s">
        <v>704</v>
      </c>
      <c r="N16" s="161"/>
      <c r="O16" s="161"/>
    </row>
    <row r="17" spans="1:15" ht="18.75">
      <c r="A17" s="678" t="s">
        <v>705</v>
      </c>
      <c r="B17" s="681" t="s">
        <v>706</v>
      </c>
      <c r="C17" s="680"/>
      <c r="D17" s="680"/>
      <c r="L17" s="1354" t="s">
        <v>705</v>
      </c>
      <c r="M17" s="681" t="s">
        <v>706</v>
      </c>
      <c r="N17" s="161"/>
      <c r="O17" s="161"/>
    </row>
    <row r="18" spans="1:15" ht="18.75">
      <c r="A18" s="678" t="s">
        <v>707</v>
      </c>
      <c r="B18" s="681" t="s">
        <v>708</v>
      </c>
      <c r="C18" s="680"/>
      <c r="D18" s="680"/>
      <c r="L18" s="1354" t="s">
        <v>707</v>
      </c>
      <c r="M18" s="681" t="s">
        <v>708</v>
      </c>
      <c r="N18" s="161"/>
      <c r="O18" s="161"/>
    </row>
    <row r="19" spans="1:15" ht="18.75">
      <c r="A19" s="675" t="s">
        <v>228</v>
      </c>
      <c r="B19" s="676" t="s">
        <v>1662</v>
      </c>
      <c r="C19" s="677">
        <f t="shared" ref="C19:D19" si="6">C20+C23+C24+C25+C26+C27</f>
        <v>0</v>
      </c>
      <c r="D19" s="677">
        <f t="shared" si="6"/>
        <v>0</v>
      </c>
      <c r="L19" s="1266" t="s">
        <v>228</v>
      </c>
      <c r="M19" s="676" t="s">
        <v>1662</v>
      </c>
      <c r="N19" s="1267"/>
      <c r="O19" s="677">
        <f t="shared" ref="O19" si="7">O20+O23+O24+O25+O26+O27</f>
        <v>0</v>
      </c>
    </row>
    <row r="20" spans="1:15" ht="18.75">
      <c r="A20" s="678" t="s">
        <v>428</v>
      </c>
      <c r="B20" s="681" t="s">
        <v>1663</v>
      </c>
      <c r="C20" s="683">
        <f>D238+D254</f>
        <v>0</v>
      </c>
      <c r="D20" s="683">
        <f>E238+E254</f>
        <v>0</v>
      </c>
      <c r="L20" s="1354" t="s">
        <v>428</v>
      </c>
      <c r="M20" s="681" t="s">
        <v>1663</v>
      </c>
      <c r="N20" s="161"/>
      <c r="O20" s="683">
        <f>P238+P254</f>
        <v>0</v>
      </c>
    </row>
    <row r="21" spans="1:15" ht="16.5">
      <c r="A21" s="684" t="s">
        <v>709</v>
      </c>
      <c r="B21" s="681" t="s">
        <v>1664</v>
      </c>
      <c r="C21" s="683">
        <f>D238+D268</f>
        <v>0</v>
      </c>
      <c r="D21" s="683">
        <f>E238+E268</f>
        <v>0</v>
      </c>
      <c r="L21" s="1356" t="s">
        <v>709</v>
      </c>
      <c r="M21" s="681" t="s">
        <v>1664</v>
      </c>
      <c r="N21" s="161"/>
      <c r="O21" s="683">
        <f>P238+P268</f>
        <v>0</v>
      </c>
    </row>
    <row r="22" spans="1:15" ht="16.5">
      <c r="A22" s="684" t="s">
        <v>710</v>
      </c>
      <c r="B22" s="681" t="s">
        <v>1665</v>
      </c>
      <c r="C22" s="683">
        <f>C20-C21</f>
        <v>0</v>
      </c>
      <c r="D22" s="683">
        <f t="shared" ref="D22" si="8">D20-D21</f>
        <v>0</v>
      </c>
      <c r="L22" s="1356" t="s">
        <v>710</v>
      </c>
      <c r="M22" s="681" t="s">
        <v>1665</v>
      </c>
      <c r="N22" s="161"/>
      <c r="O22" s="683">
        <f t="shared" ref="O22" si="9">O20-O21</f>
        <v>0</v>
      </c>
    </row>
    <row r="23" spans="1:15" ht="18.75">
      <c r="A23" s="678" t="s">
        <v>431</v>
      </c>
      <c r="B23" s="681" t="s">
        <v>1666</v>
      </c>
      <c r="C23" s="680"/>
      <c r="D23" s="680"/>
      <c r="L23" s="1354" t="s">
        <v>431</v>
      </c>
      <c r="M23" s="681" t="s">
        <v>1666</v>
      </c>
      <c r="N23" s="161"/>
      <c r="O23" s="161"/>
    </row>
    <row r="24" spans="1:15" ht="18.75">
      <c r="A24" s="678" t="s">
        <v>433</v>
      </c>
      <c r="B24" s="681" t="s">
        <v>1667</v>
      </c>
      <c r="C24" s="680"/>
      <c r="D24" s="680"/>
      <c r="L24" s="1354" t="s">
        <v>433</v>
      </c>
      <c r="M24" s="681" t="s">
        <v>1667</v>
      </c>
      <c r="N24" s="161"/>
      <c r="O24" s="161"/>
    </row>
    <row r="25" spans="1:15" ht="18.75">
      <c r="A25" s="678" t="s">
        <v>711</v>
      </c>
      <c r="B25" s="685" t="s">
        <v>1668</v>
      </c>
      <c r="C25" s="680"/>
      <c r="D25" s="680"/>
      <c r="L25" s="1354" t="s">
        <v>711</v>
      </c>
      <c r="M25" s="685" t="s">
        <v>1668</v>
      </c>
      <c r="N25" s="161"/>
      <c r="O25" s="161"/>
    </row>
    <row r="26" spans="1:15" ht="18.75">
      <c r="A26" s="678" t="s">
        <v>712</v>
      </c>
      <c r="B26" s="681" t="s">
        <v>660</v>
      </c>
      <c r="C26" s="680"/>
      <c r="D26" s="680"/>
      <c r="L26" s="1354" t="s">
        <v>712</v>
      </c>
      <c r="M26" s="681" t="s">
        <v>660</v>
      </c>
      <c r="N26" s="161"/>
      <c r="O26" s="161"/>
    </row>
    <row r="27" spans="1:15" ht="18.75">
      <c r="A27" s="678" t="s">
        <v>713</v>
      </c>
      <c r="B27" s="681" t="s">
        <v>714</v>
      </c>
      <c r="C27" s="683">
        <f t="shared" ref="C27:D27" si="10">C28+C30</f>
        <v>0</v>
      </c>
      <c r="D27" s="683">
        <f t="shared" si="10"/>
        <v>0</v>
      </c>
      <c r="L27" s="1354" t="s">
        <v>713</v>
      </c>
      <c r="M27" s="681" t="s">
        <v>714</v>
      </c>
      <c r="N27" s="161"/>
      <c r="O27" s="683">
        <f t="shared" ref="O27" si="11">O28+O30</f>
        <v>0</v>
      </c>
    </row>
    <row r="28" spans="1:15" ht="16.5">
      <c r="A28" s="684" t="s">
        <v>715</v>
      </c>
      <c r="B28" s="681" t="s">
        <v>1669</v>
      </c>
      <c r="C28" s="680"/>
      <c r="D28" s="680"/>
      <c r="L28" s="1356" t="s">
        <v>715</v>
      </c>
      <c r="M28" s="681" t="s">
        <v>1669</v>
      </c>
      <c r="N28" s="161"/>
      <c r="O28" s="161"/>
    </row>
    <row r="29" spans="1:15" ht="16.5">
      <c r="A29" s="684" t="s">
        <v>716</v>
      </c>
      <c r="B29" s="681" t="s">
        <v>1670</v>
      </c>
      <c r="C29" s="680"/>
      <c r="D29" s="680"/>
      <c r="L29" s="1356" t="s">
        <v>716</v>
      </c>
      <c r="M29" s="681" t="s">
        <v>1670</v>
      </c>
      <c r="N29" s="161"/>
      <c r="O29" s="161"/>
    </row>
    <row r="30" spans="1:15" ht="16.5">
      <c r="A30" s="684" t="s">
        <v>717</v>
      </c>
      <c r="B30" s="681" t="s">
        <v>1671</v>
      </c>
      <c r="C30" s="680"/>
      <c r="D30" s="680"/>
      <c r="L30" s="1356" t="s">
        <v>717</v>
      </c>
      <c r="M30" s="681" t="s">
        <v>1671</v>
      </c>
      <c r="N30" s="161"/>
      <c r="O30" s="161"/>
    </row>
    <row r="31" spans="1:15" ht="16.5">
      <c r="A31" s="684" t="s">
        <v>718</v>
      </c>
      <c r="B31" s="681" t="s">
        <v>1670</v>
      </c>
      <c r="C31" s="680"/>
      <c r="D31" s="680"/>
      <c r="L31" s="1356" t="s">
        <v>718</v>
      </c>
      <c r="M31" s="681" t="s">
        <v>1670</v>
      </c>
      <c r="N31" s="161"/>
      <c r="O31" s="161"/>
    </row>
    <row r="32" spans="1:15" ht="18.75">
      <c r="A32" s="675" t="s">
        <v>230</v>
      </c>
      <c r="B32" s="676" t="s">
        <v>1672</v>
      </c>
      <c r="C32" s="677">
        <f t="shared" ref="C32:D32" si="12">C33+C34+C35</f>
        <v>0</v>
      </c>
      <c r="D32" s="677">
        <f t="shared" si="12"/>
        <v>0</v>
      </c>
      <c r="L32" s="1266" t="s">
        <v>230</v>
      </c>
      <c r="M32" s="676" t="s">
        <v>1672</v>
      </c>
      <c r="N32" s="1267"/>
      <c r="O32" s="677">
        <f t="shared" ref="O32" si="13">O33+O34+O35</f>
        <v>0</v>
      </c>
    </row>
    <row r="33" spans="1:15" ht="18.75">
      <c r="A33" s="678" t="s">
        <v>232</v>
      </c>
      <c r="B33" s="681" t="s">
        <v>1673</v>
      </c>
      <c r="C33" s="680"/>
      <c r="D33" s="680"/>
      <c r="L33" s="1354" t="s">
        <v>232</v>
      </c>
      <c r="M33" s="681" t="s">
        <v>1673</v>
      </c>
      <c r="N33" s="161"/>
      <c r="O33" s="161"/>
    </row>
    <row r="34" spans="1:15" ht="18.75">
      <c r="A34" s="678" t="s">
        <v>233</v>
      </c>
      <c r="B34" s="681" t="s">
        <v>1674</v>
      </c>
      <c r="C34" s="680"/>
      <c r="D34" s="680"/>
      <c r="L34" s="1354" t="s">
        <v>233</v>
      </c>
      <c r="M34" s="681" t="s">
        <v>1674</v>
      </c>
      <c r="N34" s="161"/>
      <c r="O34" s="161"/>
    </row>
    <row r="35" spans="1:15" ht="30">
      <c r="A35" s="678" t="s">
        <v>234</v>
      </c>
      <c r="B35" s="681" t="s">
        <v>1675</v>
      </c>
      <c r="C35" s="686">
        <f t="shared" ref="C35:D35" si="14">C36+C37</f>
        <v>0</v>
      </c>
      <c r="D35" s="686">
        <f t="shared" si="14"/>
        <v>0</v>
      </c>
      <c r="L35" s="1354" t="s">
        <v>234</v>
      </c>
      <c r="M35" s="681" t="s">
        <v>1675</v>
      </c>
      <c r="N35" s="161"/>
      <c r="O35" s="686">
        <f t="shared" ref="O35" si="15">O36+O37</f>
        <v>0</v>
      </c>
    </row>
    <row r="36" spans="1:15" ht="30">
      <c r="A36" s="684" t="s">
        <v>719</v>
      </c>
      <c r="B36" s="681" t="s">
        <v>1676</v>
      </c>
      <c r="C36" s="680"/>
      <c r="D36" s="680"/>
      <c r="L36" s="1356" t="s">
        <v>719</v>
      </c>
      <c r="M36" s="681" t="s">
        <v>1676</v>
      </c>
      <c r="N36" s="161"/>
      <c r="O36" s="161"/>
    </row>
    <row r="37" spans="1:15" ht="30">
      <c r="A37" s="684" t="s">
        <v>573</v>
      </c>
      <c r="B37" s="681" t="s">
        <v>1677</v>
      </c>
      <c r="C37" s="680"/>
      <c r="D37" s="680"/>
      <c r="L37" s="1356" t="s">
        <v>573</v>
      </c>
      <c r="M37" s="681" t="s">
        <v>1677</v>
      </c>
      <c r="N37" s="161"/>
      <c r="O37" s="161"/>
    </row>
    <row r="38" spans="1:15" ht="18.75">
      <c r="A38" s="675" t="s">
        <v>238</v>
      </c>
      <c r="B38" s="676" t="s">
        <v>720</v>
      </c>
      <c r="C38" s="677">
        <f t="shared" ref="C38:D38" si="16">C39+C42</f>
        <v>0</v>
      </c>
      <c r="D38" s="677">
        <f t="shared" si="16"/>
        <v>0</v>
      </c>
      <c r="L38" s="1266" t="s">
        <v>238</v>
      </c>
      <c r="M38" s="676" t="s">
        <v>720</v>
      </c>
      <c r="N38" s="1267"/>
      <c r="O38" s="677">
        <f t="shared" ref="O38" si="17">O39+O42</f>
        <v>0</v>
      </c>
    </row>
    <row r="39" spans="1:15" ht="18.75">
      <c r="A39" s="678" t="s">
        <v>721</v>
      </c>
      <c r="B39" s="687" t="s">
        <v>1678</v>
      </c>
      <c r="C39" s="680"/>
      <c r="D39" s="686">
        <f>E221-D85-D97</f>
        <v>0</v>
      </c>
      <c r="L39" s="1354" t="s">
        <v>721</v>
      </c>
      <c r="M39" s="687" t="s">
        <v>1678</v>
      </c>
      <c r="N39" s="161"/>
      <c r="O39" s="686">
        <f>P221-O85-O97</f>
        <v>0</v>
      </c>
    </row>
    <row r="40" spans="1:15" ht="18.75">
      <c r="A40" s="678" t="s">
        <v>722</v>
      </c>
      <c r="B40" s="687" t="s">
        <v>1679</v>
      </c>
      <c r="C40" s="680"/>
      <c r="D40" s="686">
        <f>E193-D86-D98</f>
        <v>0</v>
      </c>
      <c r="L40" s="1354" t="s">
        <v>722</v>
      </c>
      <c r="M40" s="687" t="s">
        <v>1679</v>
      </c>
      <c r="N40" s="161"/>
      <c r="O40" s="686">
        <f>P193-O86-O98</f>
        <v>0</v>
      </c>
    </row>
    <row r="41" spans="1:15" ht="18.75">
      <c r="A41" s="678" t="s">
        <v>723</v>
      </c>
      <c r="B41" s="687" t="s">
        <v>926</v>
      </c>
      <c r="C41" s="686">
        <f t="shared" ref="C41:D41" si="18">IF(C40=0,,C39/C40/12)</f>
        <v>0</v>
      </c>
      <c r="D41" s="686">
        <f t="shared" si="18"/>
        <v>0</v>
      </c>
      <c r="L41" s="1354" t="s">
        <v>723</v>
      </c>
      <c r="M41" s="687" t="s">
        <v>926</v>
      </c>
      <c r="N41" s="161"/>
      <c r="O41" s="686">
        <f t="shared" ref="O41" si="19">IF(O40=0,,O39/O40/12)</f>
        <v>0</v>
      </c>
    </row>
    <row r="42" spans="1:15" ht="18.75">
      <c r="A42" s="678" t="s">
        <v>724</v>
      </c>
      <c r="B42" s="687" t="s">
        <v>725</v>
      </c>
      <c r="C42" s="680"/>
      <c r="D42" s="686">
        <f>D39*(D43+D44)/100</f>
        <v>0</v>
      </c>
      <c r="L42" s="1354" t="s">
        <v>724</v>
      </c>
      <c r="M42" s="687" t="s">
        <v>725</v>
      </c>
      <c r="N42" s="161"/>
      <c r="O42" s="686">
        <f>O39*(O43+O44)/100</f>
        <v>0</v>
      </c>
    </row>
    <row r="43" spans="1:15" ht="16.5">
      <c r="A43" s="684" t="s">
        <v>726</v>
      </c>
      <c r="B43" s="687" t="s">
        <v>727</v>
      </c>
      <c r="C43" s="680"/>
      <c r="D43" s="680"/>
      <c r="L43" s="1356" t="s">
        <v>726</v>
      </c>
      <c r="M43" s="687" t="s">
        <v>727</v>
      </c>
      <c r="N43" s="161"/>
      <c r="O43" s="161"/>
    </row>
    <row r="44" spans="1:15" ht="16.5">
      <c r="A44" s="684" t="s">
        <v>728</v>
      </c>
      <c r="B44" s="687" t="s">
        <v>729</v>
      </c>
      <c r="C44" s="680"/>
      <c r="D44" s="680"/>
      <c r="L44" s="1356" t="s">
        <v>728</v>
      </c>
      <c r="M44" s="687" t="s">
        <v>729</v>
      </c>
      <c r="N44" s="161"/>
      <c r="O44" s="161"/>
    </row>
    <row r="45" spans="1:15" ht="18.75">
      <c r="A45" s="675" t="s">
        <v>241</v>
      </c>
      <c r="B45" s="676" t="s">
        <v>730</v>
      </c>
      <c r="C45" s="677">
        <f t="shared" ref="C45:D45" si="20">C46+C71+C77+C78+C79</f>
        <v>0</v>
      </c>
      <c r="D45" s="677">
        <f t="shared" si="20"/>
        <v>0</v>
      </c>
      <c r="L45" s="1266" t="s">
        <v>241</v>
      </c>
      <c r="M45" s="676" t="s">
        <v>730</v>
      </c>
      <c r="N45" s="1267"/>
      <c r="O45" s="677">
        <f t="shared" ref="O45" si="21">O46+O71+O77+O78+O79</f>
        <v>0</v>
      </c>
    </row>
    <row r="46" spans="1:15" ht="15.75" customHeight="1">
      <c r="A46" s="675" t="s">
        <v>731</v>
      </c>
      <c r="B46" s="688" t="s">
        <v>801</v>
      </c>
      <c r="C46" s="677">
        <f t="shared" ref="C46:D46" si="22">C47+C53+C59+C65</f>
        <v>0</v>
      </c>
      <c r="D46" s="677">
        <f t="shared" si="22"/>
        <v>0</v>
      </c>
      <c r="L46" s="1266" t="s">
        <v>731</v>
      </c>
      <c r="M46" s="688" t="s">
        <v>801</v>
      </c>
      <c r="N46" s="1267"/>
      <c r="O46" s="677">
        <f t="shared" ref="O46" si="23">O47+O53+O59+O65</f>
        <v>0</v>
      </c>
    </row>
    <row r="47" spans="1:15" ht="15.75" customHeight="1">
      <c r="A47" s="684" t="s">
        <v>481</v>
      </c>
      <c r="B47" s="687" t="s">
        <v>1680</v>
      </c>
      <c r="C47" s="677">
        <f t="shared" ref="C47:D47" si="24">C48+C51+C52</f>
        <v>0</v>
      </c>
      <c r="D47" s="677">
        <f t="shared" si="24"/>
        <v>0</v>
      </c>
      <c r="L47" s="1356" t="s">
        <v>481</v>
      </c>
      <c r="M47" s="687" t="s">
        <v>1680</v>
      </c>
      <c r="N47" s="1267"/>
      <c r="O47" s="677">
        <f t="shared" ref="O47" si="25">O48+O51+O52</f>
        <v>0</v>
      </c>
    </row>
    <row r="48" spans="1:15" ht="15.75" customHeight="1">
      <c r="A48" s="684" t="s">
        <v>803</v>
      </c>
      <c r="B48" s="687" t="s">
        <v>1681</v>
      </c>
      <c r="C48" s="680"/>
      <c r="D48" s="680"/>
      <c r="L48" s="1356" t="s">
        <v>803</v>
      </c>
      <c r="M48" s="687" t="s">
        <v>1681</v>
      </c>
      <c r="N48" s="161"/>
      <c r="O48" s="161"/>
    </row>
    <row r="49" spans="1:15" ht="15.75" customHeight="1">
      <c r="A49" s="684" t="s">
        <v>807</v>
      </c>
      <c r="B49" s="687" t="s">
        <v>1682</v>
      </c>
      <c r="C49" s="680"/>
      <c r="D49" s="680"/>
      <c r="L49" s="1356" t="s">
        <v>807</v>
      </c>
      <c r="M49" s="687" t="s">
        <v>1682</v>
      </c>
      <c r="N49" s="161"/>
      <c r="O49" s="161"/>
    </row>
    <row r="50" spans="1:15" ht="15.75" customHeight="1">
      <c r="A50" s="684" t="s">
        <v>808</v>
      </c>
      <c r="B50" s="687" t="s">
        <v>926</v>
      </c>
      <c r="C50" s="686">
        <f t="shared" ref="C50:D50" si="26">IF(C49=0,,C48/C49/12)</f>
        <v>0</v>
      </c>
      <c r="D50" s="686">
        <f t="shared" si="26"/>
        <v>0</v>
      </c>
      <c r="L50" s="1356" t="s">
        <v>808</v>
      </c>
      <c r="M50" s="687" t="s">
        <v>926</v>
      </c>
      <c r="N50" s="161"/>
      <c r="O50" s="686">
        <f t="shared" ref="O50" si="27">IF(O49=0,,O48/O49/12)</f>
        <v>0</v>
      </c>
    </row>
    <row r="51" spans="1:15" ht="15.75" customHeight="1">
      <c r="A51" s="684" t="s">
        <v>1683</v>
      </c>
      <c r="B51" s="687" t="s">
        <v>1684</v>
      </c>
      <c r="C51" s="680"/>
      <c r="D51" s="680"/>
      <c r="L51" s="1356" t="s">
        <v>1683</v>
      </c>
      <c r="M51" s="687" t="s">
        <v>1684</v>
      </c>
      <c r="N51" s="161"/>
      <c r="O51" s="161"/>
    </row>
    <row r="52" spans="1:15" ht="15.75" customHeight="1">
      <c r="A52" s="684" t="s">
        <v>1685</v>
      </c>
      <c r="B52" s="687" t="s">
        <v>1686</v>
      </c>
      <c r="C52" s="680"/>
      <c r="D52" s="680"/>
      <c r="L52" s="1356" t="s">
        <v>1685</v>
      </c>
      <c r="M52" s="687" t="s">
        <v>1686</v>
      </c>
      <c r="N52" s="161"/>
      <c r="O52" s="161"/>
    </row>
    <row r="53" spans="1:15" ht="15.75" customHeight="1">
      <c r="A53" s="684" t="s">
        <v>483</v>
      </c>
      <c r="B53" s="687" t="s">
        <v>1687</v>
      </c>
      <c r="C53" s="677">
        <f t="shared" ref="C53:D53" si="28">C54+C57+C58</f>
        <v>0</v>
      </c>
      <c r="D53" s="677">
        <f t="shared" si="28"/>
        <v>0</v>
      </c>
      <c r="L53" s="1356" t="s">
        <v>483</v>
      </c>
      <c r="M53" s="687" t="s">
        <v>1687</v>
      </c>
      <c r="N53" s="1267"/>
      <c r="O53" s="677">
        <f t="shared" ref="O53" si="29">O54+O57+O58</f>
        <v>0</v>
      </c>
    </row>
    <row r="54" spans="1:15" ht="15.75" customHeight="1">
      <c r="A54" s="684" t="s">
        <v>810</v>
      </c>
      <c r="B54" s="687" t="s">
        <v>1681</v>
      </c>
      <c r="C54" s="680"/>
      <c r="D54" s="680"/>
      <c r="L54" s="1356" t="s">
        <v>810</v>
      </c>
      <c r="M54" s="687" t="s">
        <v>1681</v>
      </c>
      <c r="N54" s="161"/>
      <c r="O54" s="161"/>
    </row>
    <row r="55" spans="1:15" ht="15.75" customHeight="1">
      <c r="A55" s="684" t="s">
        <v>812</v>
      </c>
      <c r="B55" s="687" t="s">
        <v>1682</v>
      </c>
      <c r="C55" s="680"/>
      <c r="D55" s="680"/>
      <c r="L55" s="1356" t="s">
        <v>812</v>
      </c>
      <c r="M55" s="687" t="s">
        <v>1682</v>
      </c>
      <c r="N55" s="161"/>
      <c r="O55" s="161"/>
    </row>
    <row r="56" spans="1:15" ht="15.75" customHeight="1">
      <c r="A56" s="684" t="s">
        <v>813</v>
      </c>
      <c r="B56" s="687" t="s">
        <v>926</v>
      </c>
      <c r="C56" s="686">
        <f t="shared" ref="C56:D56" si="30">IF(C55=0,,C54/C55/12)</f>
        <v>0</v>
      </c>
      <c r="D56" s="686">
        <f t="shared" si="30"/>
        <v>0</v>
      </c>
      <c r="L56" s="1356" t="s">
        <v>813</v>
      </c>
      <c r="M56" s="687" t="s">
        <v>926</v>
      </c>
      <c r="N56" s="161"/>
      <c r="O56" s="686">
        <f t="shared" ref="O56" si="31">IF(O55=0,,O54/O55/12)</f>
        <v>0</v>
      </c>
    </row>
    <row r="57" spans="1:15" ht="15.75" customHeight="1">
      <c r="A57" s="684" t="s">
        <v>1688</v>
      </c>
      <c r="B57" s="687" t="s">
        <v>1689</v>
      </c>
      <c r="C57" s="680"/>
      <c r="D57" s="680"/>
      <c r="L57" s="1356" t="s">
        <v>1688</v>
      </c>
      <c r="M57" s="687" t="s">
        <v>1689</v>
      </c>
      <c r="N57" s="161"/>
      <c r="O57" s="161"/>
    </row>
    <row r="58" spans="1:15" ht="15.75" customHeight="1">
      <c r="A58" s="684" t="s">
        <v>1690</v>
      </c>
      <c r="B58" s="687" t="s">
        <v>1686</v>
      </c>
      <c r="C58" s="680"/>
      <c r="D58" s="680"/>
      <c r="L58" s="1356" t="s">
        <v>1690</v>
      </c>
      <c r="M58" s="687" t="s">
        <v>1686</v>
      </c>
      <c r="N58" s="161"/>
      <c r="O58" s="161"/>
    </row>
    <row r="59" spans="1:15" ht="15.75" customHeight="1">
      <c r="A59" s="684" t="s">
        <v>485</v>
      </c>
      <c r="B59" s="687" t="s">
        <v>1691</v>
      </c>
      <c r="C59" s="677">
        <f t="shared" ref="C59:D59" si="32">C60+C63+C64</f>
        <v>0</v>
      </c>
      <c r="D59" s="677">
        <f t="shared" si="32"/>
        <v>0</v>
      </c>
      <c r="L59" s="1356" t="s">
        <v>485</v>
      </c>
      <c r="M59" s="687" t="s">
        <v>1691</v>
      </c>
      <c r="N59" s="1267"/>
      <c r="O59" s="677">
        <f t="shared" ref="O59" si="33">O60+O63+O64</f>
        <v>0</v>
      </c>
    </row>
    <row r="60" spans="1:15" ht="15.75" customHeight="1">
      <c r="A60" s="684" t="s">
        <v>815</v>
      </c>
      <c r="B60" s="687" t="s">
        <v>1681</v>
      </c>
      <c r="C60" s="680"/>
      <c r="D60" s="680"/>
      <c r="L60" s="1356" t="s">
        <v>815</v>
      </c>
      <c r="M60" s="687" t="s">
        <v>1681</v>
      </c>
      <c r="N60" s="161"/>
      <c r="O60" s="161"/>
    </row>
    <row r="61" spans="1:15" ht="15.75" customHeight="1">
      <c r="A61" s="684" t="s">
        <v>817</v>
      </c>
      <c r="B61" s="687" t="s">
        <v>1692</v>
      </c>
      <c r="C61" s="680"/>
      <c r="D61" s="680"/>
      <c r="L61" s="1356" t="s">
        <v>817</v>
      </c>
      <c r="M61" s="687" t="s">
        <v>1692</v>
      </c>
      <c r="N61" s="161"/>
      <c r="O61" s="161"/>
    </row>
    <row r="62" spans="1:15" ht="15.75" customHeight="1">
      <c r="A62" s="684" t="s">
        <v>818</v>
      </c>
      <c r="B62" s="687" t="s">
        <v>926</v>
      </c>
      <c r="C62" s="686">
        <f t="shared" ref="C62:D62" si="34">IF(C61=0,,C60/C61/12)</f>
        <v>0</v>
      </c>
      <c r="D62" s="686">
        <f t="shared" si="34"/>
        <v>0</v>
      </c>
      <c r="L62" s="1356" t="s">
        <v>818</v>
      </c>
      <c r="M62" s="687" t="s">
        <v>926</v>
      </c>
      <c r="N62" s="161"/>
      <c r="O62" s="686">
        <f t="shared" ref="O62" si="35">IF(O61=0,,O60/O61/12)</f>
        <v>0</v>
      </c>
    </row>
    <row r="63" spans="1:15" ht="15.75" customHeight="1">
      <c r="A63" s="684" t="s">
        <v>1693</v>
      </c>
      <c r="B63" s="687" t="s">
        <v>1694</v>
      </c>
      <c r="C63" s="680"/>
      <c r="D63" s="680"/>
      <c r="L63" s="1356" t="s">
        <v>1693</v>
      </c>
      <c r="M63" s="687" t="s">
        <v>1694</v>
      </c>
      <c r="N63" s="161"/>
      <c r="O63" s="161"/>
    </row>
    <row r="64" spans="1:15" ht="15.75" customHeight="1">
      <c r="A64" s="684" t="s">
        <v>1695</v>
      </c>
      <c r="B64" s="687" t="s">
        <v>1696</v>
      </c>
      <c r="C64" s="680"/>
      <c r="D64" s="680"/>
      <c r="L64" s="1356" t="s">
        <v>1695</v>
      </c>
      <c r="M64" s="687" t="s">
        <v>1696</v>
      </c>
      <c r="N64" s="161"/>
      <c r="O64" s="161"/>
    </row>
    <row r="65" spans="1:15" ht="15.75" customHeight="1">
      <c r="A65" s="684" t="s">
        <v>487</v>
      </c>
      <c r="B65" s="687" t="s">
        <v>1697</v>
      </c>
      <c r="C65" s="677">
        <f t="shared" ref="C65:D65" si="36">C66+C69+C70</f>
        <v>0</v>
      </c>
      <c r="D65" s="677">
        <f t="shared" si="36"/>
        <v>0</v>
      </c>
      <c r="L65" s="1356" t="s">
        <v>487</v>
      </c>
      <c r="M65" s="687" t="s">
        <v>1697</v>
      </c>
      <c r="N65" s="1267"/>
      <c r="O65" s="677">
        <f t="shared" ref="O65" si="37">O66+O69+O70</f>
        <v>0</v>
      </c>
    </row>
    <row r="66" spans="1:15" ht="30">
      <c r="A66" s="684" t="s">
        <v>820</v>
      </c>
      <c r="B66" s="687" t="s">
        <v>1698</v>
      </c>
      <c r="C66" s="680"/>
      <c r="D66" s="680"/>
      <c r="L66" s="1356" t="s">
        <v>820</v>
      </c>
      <c r="M66" s="687" t="s">
        <v>1698</v>
      </c>
      <c r="N66" s="161"/>
      <c r="O66" s="161"/>
    </row>
    <row r="67" spans="1:15" ht="15.75" customHeight="1">
      <c r="A67" s="684" t="s">
        <v>822</v>
      </c>
      <c r="B67" s="687" t="s">
        <v>1692</v>
      </c>
      <c r="C67" s="680"/>
      <c r="D67" s="680"/>
      <c r="L67" s="1356" t="s">
        <v>822</v>
      </c>
      <c r="M67" s="687" t="s">
        <v>1692</v>
      </c>
      <c r="N67" s="161"/>
      <c r="O67" s="161"/>
    </row>
    <row r="68" spans="1:15" ht="15.75" customHeight="1">
      <c r="A68" s="684" t="s">
        <v>823</v>
      </c>
      <c r="B68" s="687" t="s">
        <v>926</v>
      </c>
      <c r="C68" s="686">
        <f t="shared" ref="C68:D68" si="38">IF(C67=0,,C66/C67/12)</f>
        <v>0</v>
      </c>
      <c r="D68" s="686">
        <f t="shared" si="38"/>
        <v>0</v>
      </c>
      <c r="L68" s="1356" t="s">
        <v>823</v>
      </c>
      <c r="M68" s="687" t="s">
        <v>926</v>
      </c>
      <c r="N68" s="161"/>
      <c r="O68" s="686">
        <f t="shared" ref="O68" si="39">IF(O67=0,,O66/O67/12)</f>
        <v>0</v>
      </c>
    </row>
    <row r="69" spans="1:15" ht="15.75" customHeight="1">
      <c r="A69" s="684" t="s">
        <v>1699</v>
      </c>
      <c r="B69" s="687" t="s">
        <v>1684</v>
      </c>
      <c r="C69" s="680"/>
      <c r="D69" s="680"/>
      <c r="L69" s="1356" t="s">
        <v>1699</v>
      </c>
      <c r="M69" s="687" t="s">
        <v>1684</v>
      </c>
      <c r="N69" s="161"/>
      <c r="O69" s="161"/>
    </row>
    <row r="70" spans="1:15" ht="15.75" customHeight="1">
      <c r="A70" s="684" t="s">
        <v>1700</v>
      </c>
      <c r="B70" s="687" t="s">
        <v>1696</v>
      </c>
      <c r="C70" s="680"/>
      <c r="D70" s="680"/>
      <c r="L70" s="1356" t="s">
        <v>1700</v>
      </c>
      <c r="M70" s="687" t="s">
        <v>1696</v>
      </c>
      <c r="N70" s="161"/>
      <c r="O70" s="161"/>
    </row>
    <row r="71" spans="1:15" ht="18.75">
      <c r="A71" s="675" t="s">
        <v>732</v>
      </c>
      <c r="B71" s="676" t="s">
        <v>1701</v>
      </c>
      <c r="C71" s="677">
        <f t="shared" ref="C71:D71" si="40">SUM(C72:C76)</f>
        <v>0</v>
      </c>
      <c r="D71" s="677">
        <f t="shared" si="40"/>
        <v>0</v>
      </c>
      <c r="L71" s="1266" t="s">
        <v>732</v>
      </c>
      <c r="M71" s="676" t="s">
        <v>1701</v>
      </c>
      <c r="N71" s="1267"/>
      <c r="O71" s="677">
        <f t="shared" ref="O71" si="41">SUM(O72:O76)</f>
        <v>0</v>
      </c>
    </row>
    <row r="72" spans="1:15" ht="16.5">
      <c r="A72" s="684" t="s">
        <v>493</v>
      </c>
      <c r="B72" s="681" t="s">
        <v>733</v>
      </c>
      <c r="C72" s="680"/>
      <c r="D72" s="680"/>
      <c r="L72" s="1356" t="s">
        <v>493</v>
      </c>
      <c r="M72" s="681" t="s">
        <v>733</v>
      </c>
      <c r="N72" s="161"/>
      <c r="O72" s="161"/>
    </row>
    <row r="73" spans="1:15" ht="16.5">
      <c r="A73" s="684" t="s">
        <v>495</v>
      </c>
      <c r="B73" s="681" t="s">
        <v>734</v>
      </c>
      <c r="C73" s="680"/>
      <c r="D73" s="680"/>
      <c r="L73" s="1356" t="s">
        <v>495</v>
      </c>
      <c r="M73" s="681" t="s">
        <v>734</v>
      </c>
      <c r="N73" s="161"/>
      <c r="O73" s="161"/>
    </row>
    <row r="74" spans="1:15" ht="16.5">
      <c r="A74" s="684" t="s">
        <v>735</v>
      </c>
      <c r="B74" s="681" t="s">
        <v>1702</v>
      </c>
      <c r="C74" s="680"/>
      <c r="D74" s="680"/>
      <c r="L74" s="1356" t="s">
        <v>735</v>
      </c>
      <c r="M74" s="681" t="s">
        <v>1702</v>
      </c>
      <c r="N74" s="161"/>
      <c r="O74" s="161"/>
    </row>
    <row r="75" spans="1:15" ht="16.5">
      <c r="A75" s="684" t="s">
        <v>736</v>
      </c>
      <c r="B75" s="681" t="s">
        <v>737</v>
      </c>
      <c r="C75" s="680"/>
      <c r="D75" s="680"/>
      <c r="L75" s="1356" t="s">
        <v>736</v>
      </c>
      <c r="M75" s="681" t="s">
        <v>737</v>
      </c>
      <c r="N75" s="161"/>
      <c r="O75" s="161"/>
    </row>
    <row r="76" spans="1:15" ht="16.5">
      <c r="A76" s="684" t="s">
        <v>738</v>
      </c>
      <c r="B76" s="681" t="s">
        <v>739</v>
      </c>
      <c r="C76" s="680"/>
      <c r="D76" s="680"/>
      <c r="L76" s="1356" t="s">
        <v>738</v>
      </c>
      <c r="M76" s="681" t="s">
        <v>739</v>
      </c>
      <c r="N76" s="161"/>
      <c r="O76" s="161"/>
    </row>
    <row r="77" spans="1:15" ht="18.75">
      <c r="A77" s="675" t="s">
        <v>740</v>
      </c>
      <c r="B77" s="676" t="s">
        <v>1703</v>
      </c>
      <c r="C77" s="690"/>
      <c r="D77" s="690"/>
      <c r="L77" s="1266" t="s">
        <v>740</v>
      </c>
      <c r="M77" s="676" t="s">
        <v>1703</v>
      </c>
      <c r="N77" s="689"/>
      <c r="O77" s="689"/>
    </row>
    <row r="78" spans="1:15" ht="29.25">
      <c r="A78" s="675" t="s">
        <v>741</v>
      </c>
      <c r="B78" s="676" t="s">
        <v>1704</v>
      </c>
      <c r="C78" s="680"/>
      <c r="D78" s="680"/>
      <c r="L78" s="1266" t="s">
        <v>741</v>
      </c>
      <c r="M78" s="676" t="s">
        <v>1704</v>
      </c>
      <c r="N78" s="161"/>
      <c r="O78" s="161"/>
    </row>
    <row r="79" spans="1:15" ht="18.75">
      <c r="A79" s="675" t="s">
        <v>742</v>
      </c>
      <c r="B79" s="676" t="s">
        <v>743</v>
      </c>
      <c r="C79" s="677">
        <f t="shared" ref="C79:D79" si="42">SUM(C80:C81)</f>
        <v>0</v>
      </c>
      <c r="D79" s="677">
        <f t="shared" si="42"/>
        <v>0</v>
      </c>
      <c r="L79" s="1266" t="s">
        <v>742</v>
      </c>
      <c r="M79" s="676" t="s">
        <v>743</v>
      </c>
      <c r="N79" s="1267"/>
      <c r="O79" s="677">
        <f t="shared" ref="O79" si="43">SUM(O80:O81)</f>
        <v>0</v>
      </c>
    </row>
    <row r="80" spans="1:15" ht="16.5">
      <c r="A80" s="684" t="s">
        <v>744</v>
      </c>
      <c r="B80" s="681" t="s">
        <v>745</v>
      </c>
      <c r="C80" s="680"/>
      <c r="D80" s="680"/>
      <c r="L80" s="1356" t="s">
        <v>744</v>
      </c>
      <c r="M80" s="681" t="s">
        <v>745</v>
      </c>
      <c r="N80" s="161"/>
      <c r="O80" s="161"/>
    </row>
    <row r="81" spans="1:15" ht="16.5">
      <c r="A81" s="684" t="s">
        <v>746</v>
      </c>
      <c r="B81" s="681" t="s">
        <v>747</v>
      </c>
      <c r="C81" s="680"/>
      <c r="D81" s="680"/>
      <c r="L81" s="1356" t="s">
        <v>746</v>
      </c>
      <c r="M81" s="681" t="s">
        <v>747</v>
      </c>
      <c r="N81" s="161"/>
      <c r="O81" s="161"/>
    </row>
    <row r="82" spans="1:15">
      <c r="A82" s="672" t="s">
        <v>650</v>
      </c>
      <c r="B82" s="673" t="s">
        <v>748</v>
      </c>
      <c r="C82" s="691">
        <f t="shared" ref="C82:D82" si="44">C83+C95</f>
        <v>0</v>
      </c>
      <c r="D82" s="691">
        <f t="shared" si="44"/>
        <v>0</v>
      </c>
      <c r="L82" s="1353" t="s">
        <v>650</v>
      </c>
      <c r="M82" s="673" t="s">
        <v>748</v>
      </c>
      <c r="N82" s="1267"/>
      <c r="O82" s="691">
        <f t="shared" ref="O82" si="45">O83+O95</f>
        <v>0</v>
      </c>
    </row>
    <row r="83" spans="1:15" ht="18.75">
      <c r="A83" s="678" t="s">
        <v>406</v>
      </c>
      <c r="B83" s="676" t="s">
        <v>1705</v>
      </c>
      <c r="C83" s="683">
        <f t="shared" ref="C83:D83" si="46">C84+C94</f>
        <v>0</v>
      </c>
      <c r="D83" s="683">
        <f t="shared" si="46"/>
        <v>0</v>
      </c>
      <c r="L83" s="1354" t="s">
        <v>406</v>
      </c>
      <c r="M83" s="676" t="s">
        <v>1705</v>
      </c>
      <c r="N83" s="161"/>
      <c r="O83" s="683">
        <f t="shared" ref="O83" si="47">O84+O94</f>
        <v>0</v>
      </c>
    </row>
    <row r="84" spans="1:15">
      <c r="A84" s="692" t="s">
        <v>749</v>
      </c>
      <c r="B84" s="681" t="s">
        <v>1706</v>
      </c>
      <c r="C84" s="683">
        <f>SUM(C85:C93)-C86</f>
        <v>0</v>
      </c>
      <c r="D84" s="683">
        <f>SUM(D85:D93)-D86</f>
        <v>0</v>
      </c>
      <c r="L84" s="1357" t="s">
        <v>749</v>
      </c>
      <c r="M84" s="681" t="s">
        <v>1706</v>
      </c>
      <c r="N84" s="161"/>
      <c r="O84" s="683">
        <f>SUM(O85:O93)-O86</f>
        <v>0</v>
      </c>
    </row>
    <row r="85" spans="1:15">
      <c r="A85" s="692" t="s">
        <v>750</v>
      </c>
      <c r="B85" s="681" t="s">
        <v>1707</v>
      </c>
      <c r="C85" s="686">
        <f>D291</f>
        <v>0</v>
      </c>
      <c r="D85" s="686">
        <f>D299</f>
        <v>0</v>
      </c>
      <c r="L85" s="1357" t="s">
        <v>750</v>
      </c>
      <c r="M85" s="681" t="s">
        <v>1707</v>
      </c>
      <c r="N85" s="161"/>
      <c r="O85" s="686">
        <f>O291</f>
        <v>0</v>
      </c>
    </row>
    <row r="86" spans="1:15">
      <c r="A86" s="693" t="s">
        <v>831</v>
      </c>
      <c r="B86" s="681" t="s">
        <v>1708</v>
      </c>
      <c r="C86" s="680"/>
      <c r="D86" s="680"/>
      <c r="L86" s="1269" t="s">
        <v>831</v>
      </c>
      <c r="M86" s="681" t="s">
        <v>1708</v>
      </c>
      <c r="N86" s="161"/>
      <c r="O86" s="161"/>
    </row>
    <row r="87" spans="1:15">
      <c r="A87" s="693" t="s">
        <v>1709</v>
      </c>
      <c r="B87" s="694" t="s">
        <v>926</v>
      </c>
      <c r="C87" s="686">
        <f t="shared" ref="C87:D87" si="48">IF(C86=0,,C85/C86/12)</f>
        <v>0</v>
      </c>
      <c r="D87" s="686">
        <f t="shared" si="48"/>
        <v>0</v>
      </c>
      <c r="L87" s="1269" t="s">
        <v>1709</v>
      </c>
      <c r="M87" s="694" t="s">
        <v>926</v>
      </c>
      <c r="N87" s="161"/>
      <c r="O87" s="686">
        <f t="shared" ref="O87" si="49">IF(O86=0,,O85/O86/12)</f>
        <v>0</v>
      </c>
    </row>
    <row r="88" spans="1:15" ht="30">
      <c r="A88" s="692" t="s">
        <v>751</v>
      </c>
      <c r="B88" s="681" t="s">
        <v>1710</v>
      </c>
      <c r="C88" s="686">
        <f>$E291</f>
        <v>0</v>
      </c>
      <c r="D88" s="686">
        <f>$E299</f>
        <v>0</v>
      </c>
      <c r="L88" s="1357" t="s">
        <v>751</v>
      </c>
      <c r="M88" s="681" t="s">
        <v>1710</v>
      </c>
      <c r="N88" s="161"/>
      <c r="O88" s="686">
        <f>P291</f>
        <v>0</v>
      </c>
    </row>
    <row r="89" spans="1:15">
      <c r="A89" s="692" t="s">
        <v>752</v>
      </c>
      <c r="B89" s="681" t="s">
        <v>1711</v>
      </c>
      <c r="C89" s="686">
        <f>$F291</f>
        <v>0</v>
      </c>
      <c r="D89" s="686">
        <f>$F299</f>
        <v>0</v>
      </c>
      <c r="L89" s="1357" t="s">
        <v>752</v>
      </c>
      <c r="M89" s="681" t="s">
        <v>1711</v>
      </c>
      <c r="N89" s="161"/>
      <c r="O89" s="686">
        <f>Q291</f>
        <v>0</v>
      </c>
    </row>
    <row r="90" spans="1:15" ht="30">
      <c r="A90" s="693" t="s">
        <v>834</v>
      </c>
      <c r="B90" s="681" t="s">
        <v>1712</v>
      </c>
      <c r="C90" s="686">
        <f>$H291</f>
        <v>0</v>
      </c>
      <c r="D90" s="686">
        <f>$H299</f>
        <v>0</v>
      </c>
      <c r="L90" s="1269" t="s">
        <v>834</v>
      </c>
      <c r="M90" s="681" t="s">
        <v>1712</v>
      </c>
      <c r="N90" s="161"/>
      <c r="O90" s="686">
        <f>S291</f>
        <v>0</v>
      </c>
    </row>
    <row r="91" spans="1:15">
      <c r="A91" s="693" t="s">
        <v>836</v>
      </c>
      <c r="B91" s="681" t="s">
        <v>1713</v>
      </c>
      <c r="C91" s="686">
        <f>$G291</f>
        <v>0</v>
      </c>
      <c r="D91" s="686">
        <f>$G299</f>
        <v>0</v>
      </c>
      <c r="L91" s="1269" t="s">
        <v>836</v>
      </c>
      <c r="M91" s="681" t="s">
        <v>1713</v>
      </c>
      <c r="N91" s="161"/>
      <c r="O91" s="686">
        <f>R291</f>
        <v>0</v>
      </c>
    </row>
    <row r="92" spans="1:15" ht="15.75" hidden="1" customHeight="1">
      <c r="A92" s="693" t="s">
        <v>838</v>
      </c>
      <c r="B92" s="681" t="s">
        <v>1714</v>
      </c>
      <c r="C92" s="695"/>
      <c r="D92" s="695"/>
      <c r="L92" s="1269" t="s">
        <v>838</v>
      </c>
      <c r="M92" s="1355" t="s">
        <v>1714</v>
      </c>
      <c r="N92" s="161"/>
      <c r="O92" s="680"/>
    </row>
    <row r="93" spans="1:15" ht="15.75" hidden="1" customHeight="1">
      <c r="A93" s="693" t="s">
        <v>840</v>
      </c>
      <c r="B93" s="681" t="s">
        <v>1715</v>
      </c>
      <c r="C93" s="695"/>
      <c r="D93" s="695"/>
      <c r="L93" s="1269" t="s">
        <v>840</v>
      </c>
      <c r="M93" s="1355" t="s">
        <v>1715</v>
      </c>
      <c r="N93" s="161"/>
      <c r="O93" s="680"/>
    </row>
    <row r="94" spans="1:15">
      <c r="A94" s="692" t="s">
        <v>753</v>
      </c>
      <c r="B94" s="681" t="s">
        <v>1716</v>
      </c>
      <c r="C94" s="686">
        <f>$H319</f>
        <v>0</v>
      </c>
      <c r="D94" s="686">
        <f>$H327</f>
        <v>0</v>
      </c>
      <c r="L94" s="1357" t="s">
        <v>753</v>
      </c>
      <c r="M94" s="681" t="s">
        <v>1716</v>
      </c>
      <c r="N94" s="161"/>
      <c r="O94" s="686">
        <f>$S319</f>
        <v>0</v>
      </c>
    </row>
    <row r="95" spans="1:15" ht="18.75">
      <c r="A95" s="678" t="s">
        <v>500</v>
      </c>
      <c r="B95" s="676" t="s">
        <v>1717</v>
      </c>
      <c r="C95" s="683">
        <f t="shared" ref="C95:D95" si="50">C96+C106</f>
        <v>0</v>
      </c>
      <c r="D95" s="683">
        <f t="shared" si="50"/>
        <v>0</v>
      </c>
      <c r="L95" s="1354" t="s">
        <v>500</v>
      </c>
      <c r="M95" s="676" t="s">
        <v>1717</v>
      </c>
      <c r="N95" s="161"/>
      <c r="O95" s="683">
        <f t="shared" ref="O95" si="51">O96+O106</f>
        <v>0</v>
      </c>
    </row>
    <row r="96" spans="1:15">
      <c r="A96" s="692" t="s">
        <v>754</v>
      </c>
      <c r="B96" s="681" t="s">
        <v>1718</v>
      </c>
      <c r="C96" s="683">
        <f>SUM(C97:C105)-C98</f>
        <v>0</v>
      </c>
      <c r="D96" s="683">
        <f t="shared" ref="D96" si="52">SUM(D97:D105)-D98</f>
        <v>0</v>
      </c>
      <c r="L96" s="1357" t="s">
        <v>754</v>
      </c>
      <c r="M96" s="681" t="s">
        <v>1718</v>
      </c>
      <c r="N96" s="161"/>
      <c r="O96" s="683">
        <f t="shared" ref="O96" si="53">SUM(O97:O105)-O98</f>
        <v>0</v>
      </c>
    </row>
    <row r="97" spans="1:15">
      <c r="A97" s="692" t="s">
        <v>755</v>
      </c>
      <c r="B97" s="681" t="s">
        <v>1719</v>
      </c>
      <c r="C97" s="686">
        <f>$D333</f>
        <v>0</v>
      </c>
      <c r="D97" s="686">
        <f>$D341</f>
        <v>0</v>
      </c>
      <c r="L97" s="1357" t="s">
        <v>755</v>
      </c>
      <c r="M97" s="681" t="s">
        <v>1719</v>
      </c>
      <c r="N97" s="161"/>
      <c r="O97" s="686">
        <f>O841</f>
        <v>0</v>
      </c>
    </row>
    <row r="98" spans="1:15">
      <c r="A98" s="693" t="s">
        <v>1720</v>
      </c>
      <c r="B98" s="681" t="s">
        <v>1721</v>
      </c>
      <c r="C98" s="680"/>
      <c r="D98" s="680"/>
      <c r="L98" s="1269" t="s">
        <v>1720</v>
      </c>
      <c r="M98" s="681" t="s">
        <v>1721</v>
      </c>
      <c r="N98" s="161"/>
      <c r="O98" s="161"/>
    </row>
    <row r="99" spans="1:15">
      <c r="A99" s="693" t="s">
        <v>1722</v>
      </c>
      <c r="B99" s="696" t="s">
        <v>926</v>
      </c>
      <c r="C99" s="686">
        <f t="shared" ref="C99:D99" si="54">IF(C98=0,,C97/C98/12)</f>
        <v>0</v>
      </c>
      <c r="D99" s="686">
        <f t="shared" si="54"/>
        <v>0</v>
      </c>
      <c r="L99" s="1269" t="s">
        <v>1722</v>
      </c>
      <c r="M99" s="696" t="s">
        <v>926</v>
      </c>
      <c r="N99" s="161"/>
      <c r="O99" s="686">
        <f t="shared" ref="O99" si="55">IF(O98=0,,O97/O98/12)</f>
        <v>0</v>
      </c>
    </row>
    <row r="100" spans="1:15" ht="30">
      <c r="A100" s="692" t="s">
        <v>756</v>
      </c>
      <c r="B100" s="681" t="s">
        <v>1723</v>
      </c>
      <c r="C100" s="686">
        <f>$E333</f>
        <v>0</v>
      </c>
      <c r="D100" s="686">
        <f>$E341</f>
        <v>0</v>
      </c>
      <c r="L100" s="1357" t="s">
        <v>756</v>
      </c>
      <c r="M100" s="681" t="s">
        <v>1723</v>
      </c>
      <c r="N100" s="161"/>
      <c r="O100" s="686">
        <f>P841</f>
        <v>0</v>
      </c>
    </row>
    <row r="101" spans="1:15">
      <c r="A101" s="692" t="s">
        <v>757</v>
      </c>
      <c r="B101" s="681" t="s">
        <v>1724</v>
      </c>
      <c r="C101" s="686">
        <f>$F333</f>
        <v>0</v>
      </c>
      <c r="D101" s="686">
        <f>$F341</f>
        <v>0</v>
      </c>
      <c r="L101" s="1357" t="s">
        <v>757</v>
      </c>
      <c r="M101" s="681" t="s">
        <v>1724</v>
      </c>
      <c r="N101" s="161"/>
      <c r="O101" s="686">
        <f>Q841</f>
        <v>0</v>
      </c>
    </row>
    <row r="102" spans="1:15" ht="30">
      <c r="A102" s="693" t="s">
        <v>845</v>
      </c>
      <c r="B102" s="681" t="s">
        <v>1712</v>
      </c>
      <c r="C102" s="686">
        <f>$H333</f>
        <v>0</v>
      </c>
      <c r="D102" s="686">
        <f>$H341</f>
        <v>0</v>
      </c>
      <c r="L102" s="1269" t="s">
        <v>845</v>
      </c>
      <c r="M102" s="681" t="s">
        <v>1712</v>
      </c>
      <c r="N102" s="161"/>
      <c r="O102" s="686">
        <f>S841</f>
        <v>0</v>
      </c>
    </row>
    <row r="103" spans="1:15">
      <c r="A103" s="693" t="s">
        <v>846</v>
      </c>
      <c r="B103" s="681" t="s">
        <v>1713</v>
      </c>
      <c r="C103" s="686">
        <f>$G333</f>
        <v>0</v>
      </c>
      <c r="D103" s="686">
        <f>$G341</f>
        <v>0</v>
      </c>
      <c r="L103" s="1269" t="s">
        <v>846</v>
      </c>
      <c r="M103" s="681" t="s">
        <v>1713</v>
      </c>
      <c r="N103" s="161"/>
      <c r="O103" s="686">
        <f>R841</f>
        <v>0</v>
      </c>
    </row>
    <row r="104" spans="1:15" ht="15.75" hidden="1" customHeight="1">
      <c r="A104" s="693" t="s">
        <v>847</v>
      </c>
      <c r="B104" s="681" t="s">
        <v>1714</v>
      </c>
      <c r="C104" s="695"/>
      <c r="D104" s="695"/>
      <c r="L104" s="1269" t="s">
        <v>847</v>
      </c>
      <c r="M104" s="681" t="s">
        <v>1714</v>
      </c>
      <c r="N104" s="161"/>
      <c r="O104" s="695"/>
    </row>
    <row r="105" spans="1:15" ht="15.75" hidden="1" customHeight="1">
      <c r="A105" s="693" t="s">
        <v>848</v>
      </c>
      <c r="B105" s="681" t="s">
        <v>1715</v>
      </c>
      <c r="C105" s="695"/>
      <c r="D105" s="695"/>
      <c r="L105" s="1269" t="s">
        <v>848</v>
      </c>
      <c r="M105" s="681" t="s">
        <v>1715</v>
      </c>
      <c r="N105" s="161"/>
      <c r="O105" s="695"/>
    </row>
    <row r="106" spans="1:15">
      <c r="A106" s="692" t="s">
        <v>758</v>
      </c>
      <c r="B106" s="681" t="s">
        <v>1716</v>
      </c>
      <c r="C106" s="686">
        <f>$H361</f>
        <v>0</v>
      </c>
      <c r="D106" s="686">
        <f>$H369</f>
        <v>0</v>
      </c>
      <c r="L106" s="1357" t="s">
        <v>758</v>
      </c>
      <c r="M106" s="681" t="s">
        <v>1716</v>
      </c>
      <c r="N106" s="161"/>
      <c r="O106" s="686">
        <f>S361</f>
        <v>0</v>
      </c>
    </row>
    <row r="107" spans="1:15">
      <c r="A107" s="672" t="s">
        <v>651</v>
      </c>
      <c r="B107" s="672" t="s">
        <v>849</v>
      </c>
      <c r="C107" s="697">
        <f t="shared" ref="C107:D107" si="56">SUM(C108:C114)</f>
        <v>0</v>
      </c>
      <c r="D107" s="697">
        <f t="shared" si="56"/>
        <v>0</v>
      </c>
      <c r="L107" s="1353" t="s">
        <v>651</v>
      </c>
      <c r="M107" s="672" t="s">
        <v>849</v>
      </c>
      <c r="N107" s="1270"/>
      <c r="O107" s="697">
        <f t="shared" ref="O107" si="57">SUM(O108:O114)</f>
        <v>0</v>
      </c>
    </row>
    <row r="108" spans="1:15" ht="18.75">
      <c r="A108" s="678" t="s">
        <v>249</v>
      </c>
      <c r="B108" s="681" t="s">
        <v>850</v>
      </c>
      <c r="C108" s="680"/>
      <c r="D108" s="680"/>
      <c r="L108" s="1354" t="s">
        <v>249</v>
      </c>
      <c r="M108" s="681" t="s">
        <v>850</v>
      </c>
      <c r="N108" s="161"/>
      <c r="O108" s="161"/>
    </row>
    <row r="109" spans="1:15" ht="18.75">
      <c r="A109" s="678" t="s">
        <v>251</v>
      </c>
      <c r="B109" s="681" t="s">
        <v>851</v>
      </c>
      <c r="C109" s="680"/>
      <c r="D109" s="680"/>
      <c r="L109" s="1354" t="s">
        <v>251</v>
      </c>
      <c r="M109" s="681" t="s">
        <v>851</v>
      </c>
      <c r="N109" s="161"/>
      <c r="O109" s="161"/>
    </row>
    <row r="110" spans="1:15" ht="18.75">
      <c r="A110" s="678" t="s">
        <v>253</v>
      </c>
      <c r="B110" s="681" t="s">
        <v>760</v>
      </c>
      <c r="C110" s="680"/>
      <c r="D110" s="680"/>
      <c r="L110" s="1354" t="s">
        <v>253</v>
      </c>
      <c r="M110" s="681" t="s">
        <v>760</v>
      </c>
      <c r="N110" s="161"/>
      <c r="O110" s="161"/>
    </row>
    <row r="111" spans="1:15" ht="18.75">
      <c r="A111" s="678" t="s">
        <v>761</v>
      </c>
      <c r="B111" s="681" t="s">
        <v>759</v>
      </c>
      <c r="C111" s="680"/>
      <c r="D111" s="680"/>
      <c r="L111" s="1354" t="s">
        <v>761</v>
      </c>
      <c r="M111" s="681" t="s">
        <v>759</v>
      </c>
      <c r="N111" s="161"/>
      <c r="O111" s="161"/>
    </row>
    <row r="112" spans="1:15" ht="18.75">
      <c r="A112" s="678" t="s">
        <v>763</v>
      </c>
      <c r="B112" s="681" t="s">
        <v>762</v>
      </c>
      <c r="C112" s="680"/>
      <c r="D112" s="680"/>
      <c r="L112" s="1354" t="s">
        <v>763</v>
      </c>
      <c r="M112" s="681" t="s">
        <v>762</v>
      </c>
      <c r="N112" s="161"/>
      <c r="O112" s="161"/>
    </row>
    <row r="113" spans="1:15" ht="18.75">
      <c r="A113" s="678" t="s">
        <v>852</v>
      </c>
      <c r="B113" s="681" t="s">
        <v>853</v>
      </c>
      <c r="C113" s="680"/>
      <c r="D113" s="680"/>
      <c r="L113" s="1354" t="s">
        <v>852</v>
      </c>
      <c r="M113" s="681" t="s">
        <v>853</v>
      </c>
      <c r="N113" s="161"/>
      <c r="O113" s="161"/>
    </row>
    <row r="114" spans="1:15" ht="18.75">
      <c r="A114" s="678" t="s">
        <v>854</v>
      </c>
      <c r="B114" s="681" t="s">
        <v>632</v>
      </c>
      <c r="C114" s="682">
        <f>SUM(C115:C134)</f>
        <v>0</v>
      </c>
      <c r="D114" s="682">
        <f t="shared" ref="D114" si="58">SUM(D115:D134)</f>
        <v>0</v>
      </c>
      <c r="L114" s="1354" t="s">
        <v>854</v>
      </c>
      <c r="M114" s="681" t="s">
        <v>632</v>
      </c>
      <c r="N114" s="1268"/>
      <c r="O114" s="682">
        <f t="shared" ref="O114" si="59">SUM(O115:O134)</f>
        <v>0</v>
      </c>
    </row>
    <row r="115" spans="1:15" ht="18.75">
      <c r="A115" s="1266"/>
      <c r="B115" s="680"/>
      <c r="C115" s="680"/>
      <c r="D115" s="680"/>
      <c r="L115" s="1266"/>
      <c r="M115" s="161"/>
      <c r="N115" s="161"/>
      <c r="O115" s="161"/>
    </row>
    <row r="116" spans="1:15" ht="18.75">
      <c r="A116" s="1266"/>
      <c r="B116" s="680"/>
      <c r="C116" s="680"/>
      <c r="D116" s="680"/>
      <c r="L116" s="1266"/>
      <c r="M116" s="161"/>
      <c r="N116" s="161"/>
      <c r="O116" s="161"/>
    </row>
    <row r="117" spans="1:15" ht="18.75" customHeight="1" outlineLevel="1">
      <c r="A117" s="1266"/>
      <c r="B117" s="680"/>
      <c r="C117" s="680"/>
      <c r="D117" s="680"/>
      <c r="L117" s="1266"/>
      <c r="M117" s="161"/>
      <c r="N117" s="161"/>
      <c r="O117" s="161"/>
    </row>
    <row r="118" spans="1:15" ht="18.75" customHeight="1" outlineLevel="1">
      <c r="A118" s="1266"/>
      <c r="B118" s="680"/>
      <c r="C118" s="680"/>
      <c r="D118" s="680"/>
      <c r="L118" s="1266"/>
      <c r="M118" s="161"/>
      <c r="N118" s="161"/>
      <c r="O118" s="161"/>
    </row>
    <row r="119" spans="1:15" ht="18.75" customHeight="1" outlineLevel="1">
      <c r="A119" s="1266"/>
      <c r="B119" s="680"/>
      <c r="C119" s="680"/>
      <c r="D119" s="680"/>
      <c r="L119" s="1266"/>
      <c r="M119" s="161"/>
      <c r="N119" s="161"/>
      <c r="O119" s="161"/>
    </row>
    <row r="120" spans="1:15" ht="18.75" customHeight="1" outlineLevel="1">
      <c r="A120" s="1266"/>
      <c r="B120" s="680"/>
      <c r="C120" s="680"/>
      <c r="D120" s="680"/>
      <c r="L120" s="1266"/>
      <c r="M120" s="161"/>
      <c r="N120" s="161"/>
      <c r="O120" s="161"/>
    </row>
    <row r="121" spans="1:15" ht="18.75" customHeight="1" outlineLevel="1">
      <c r="A121" s="1266"/>
      <c r="B121" s="680"/>
      <c r="C121" s="680"/>
      <c r="D121" s="680"/>
      <c r="L121" s="1266"/>
      <c r="M121" s="161"/>
      <c r="N121" s="161"/>
      <c r="O121" s="161"/>
    </row>
    <row r="122" spans="1:15" ht="18.75" customHeight="1" outlineLevel="1">
      <c r="A122" s="1266"/>
      <c r="B122" s="680"/>
      <c r="C122" s="680"/>
      <c r="D122" s="680"/>
      <c r="L122" s="1266"/>
      <c r="M122" s="161"/>
      <c r="N122" s="161"/>
      <c r="O122" s="161"/>
    </row>
    <row r="123" spans="1:15" ht="18.75" customHeight="1" outlineLevel="1">
      <c r="A123" s="1266"/>
      <c r="B123" s="680"/>
      <c r="C123" s="680"/>
      <c r="D123" s="680"/>
      <c r="L123" s="1266"/>
      <c r="M123" s="161"/>
      <c r="N123" s="161"/>
      <c r="O123" s="161"/>
    </row>
    <row r="124" spans="1:15" ht="18.75" customHeight="1" outlineLevel="1">
      <c r="A124" s="1266"/>
      <c r="B124" s="680"/>
      <c r="C124" s="680"/>
      <c r="D124" s="680"/>
      <c r="L124" s="1266"/>
      <c r="M124" s="161"/>
      <c r="N124" s="161"/>
      <c r="O124" s="161"/>
    </row>
    <row r="125" spans="1:15" ht="18.75" customHeight="1" outlineLevel="1">
      <c r="A125" s="1266"/>
      <c r="B125" s="680"/>
      <c r="C125" s="680"/>
      <c r="D125" s="680"/>
      <c r="L125" s="1266"/>
      <c r="M125" s="161"/>
      <c r="N125" s="161"/>
      <c r="O125" s="161"/>
    </row>
    <row r="126" spans="1:15" ht="18.75" customHeight="1" outlineLevel="1">
      <c r="A126" s="1266"/>
      <c r="B126" s="680"/>
      <c r="C126" s="680"/>
      <c r="D126" s="680"/>
      <c r="L126" s="1266"/>
      <c r="M126" s="161"/>
      <c r="N126" s="161"/>
      <c r="O126" s="161"/>
    </row>
    <row r="127" spans="1:15" ht="18.75" customHeight="1" outlineLevel="1">
      <c r="A127" s="1266"/>
      <c r="B127" s="680"/>
      <c r="C127" s="680"/>
      <c r="D127" s="680"/>
      <c r="L127" s="1266"/>
      <c r="M127" s="161"/>
      <c r="N127" s="161"/>
      <c r="O127" s="161"/>
    </row>
    <row r="128" spans="1:15" ht="18.75" customHeight="1" outlineLevel="1">
      <c r="A128" s="1266"/>
      <c r="B128" s="680"/>
      <c r="C128" s="680"/>
      <c r="D128" s="680"/>
      <c r="L128" s="1266"/>
      <c r="M128" s="161"/>
      <c r="N128" s="161"/>
      <c r="O128" s="161"/>
    </row>
    <row r="129" spans="1:15" ht="18.75" customHeight="1" outlineLevel="1">
      <c r="A129" s="1266"/>
      <c r="B129" s="680"/>
      <c r="C129" s="680"/>
      <c r="D129" s="680"/>
      <c r="L129" s="1266"/>
      <c r="M129" s="161"/>
      <c r="N129" s="161"/>
      <c r="O129" s="161"/>
    </row>
    <row r="130" spans="1:15" ht="18.75" customHeight="1" outlineLevel="1">
      <c r="A130" s="1266"/>
      <c r="B130" s="680"/>
      <c r="C130" s="680"/>
      <c r="D130" s="680"/>
      <c r="L130" s="1266"/>
      <c r="M130" s="161"/>
      <c r="N130" s="161"/>
      <c r="O130" s="161"/>
    </row>
    <row r="131" spans="1:15" ht="18.75" customHeight="1" outlineLevel="1">
      <c r="A131" s="1266"/>
      <c r="B131" s="680"/>
      <c r="C131" s="680"/>
      <c r="D131" s="680"/>
      <c r="L131" s="1266"/>
      <c r="M131" s="161"/>
      <c r="N131" s="161"/>
      <c r="O131" s="161"/>
    </row>
    <row r="132" spans="1:15" ht="18.75" customHeight="1" outlineLevel="1">
      <c r="A132" s="1266"/>
      <c r="B132" s="680"/>
      <c r="C132" s="680"/>
      <c r="D132" s="680"/>
      <c r="L132" s="1266"/>
      <c r="M132" s="161"/>
      <c r="N132" s="161"/>
      <c r="O132" s="161"/>
    </row>
    <row r="133" spans="1:15" ht="18.75" customHeight="1" outlineLevel="1">
      <c r="A133" s="1266"/>
      <c r="B133" s="680"/>
      <c r="C133" s="680"/>
      <c r="D133" s="680"/>
      <c r="L133" s="1266"/>
      <c r="M133" s="161"/>
      <c r="N133" s="161"/>
      <c r="O133" s="161"/>
    </row>
    <row r="134" spans="1:15" ht="18.75" customHeight="1" outlineLevel="1">
      <c r="A134" s="1266"/>
      <c r="B134" s="680"/>
      <c r="C134" s="680"/>
      <c r="D134" s="680"/>
      <c r="L134" s="1266"/>
      <c r="M134" s="161"/>
      <c r="N134" s="161"/>
      <c r="O134" s="161"/>
    </row>
    <row r="135" spans="1:15">
      <c r="A135" s="672" t="s">
        <v>1725</v>
      </c>
      <c r="B135" s="673" t="s">
        <v>855</v>
      </c>
      <c r="C135" s="691">
        <f>C136+C139+C140</f>
        <v>0</v>
      </c>
      <c r="D135" s="691">
        <f>D136+D139+D140</f>
        <v>0</v>
      </c>
      <c r="L135" s="1353" t="s">
        <v>1725</v>
      </c>
      <c r="M135" s="673" t="s">
        <v>855</v>
      </c>
      <c r="N135" s="1267"/>
      <c r="O135" s="691">
        <f>O136+O139+O140</f>
        <v>0</v>
      </c>
    </row>
    <row r="136" spans="1:15" ht="18.75">
      <c r="A136" s="678" t="s">
        <v>267</v>
      </c>
      <c r="B136" s="681" t="s">
        <v>804</v>
      </c>
      <c r="C136" s="699"/>
      <c r="D136" s="699"/>
      <c r="L136" s="1354" t="s">
        <v>267</v>
      </c>
      <c r="M136" s="681" t="s">
        <v>804</v>
      </c>
      <c r="N136" s="698"/>
      <c r="O136" s="698"/>
    </row>
    <row r="137" spans="1:15">
      <c r="A137" s="693" t="s">
        <v>268</v>
      </c>
      <c r="B137" s="681" t="s">
        <v>806</v>
      </c>
      <c r="C137" s="699"/>
      <c r="D137" s="699"/>
      <c r="L137" s="1269" t="s">
        <v>268</v>
      </c>
      <c r="M137" s="681" t="s">
        <v>806</v>
      </c>
      <c r="N137" s="698"/>
      <c r="O137" s="698"/>
    </row>
    <row r="138" spans="1:15">
      <c r="A138" s="693" t="s">
        <v>269</v>
      </c>
      <c r="B138" s="687" t="s">
        <v>926</v>
      </c>
      <c r="C138" s="686">
        <f t="shared" ref="C138:D138" si="60">IF(C137=0,,C136/C137/12)</f>
        <v>0</v>
      </c>
      <c r="D138" s="686">
        <f t="shared" si="60"/>
        <v>0</v>
      </c>
      <c r="L138" s="1269" t="s">
        <v>269</v>
      </c>
      <c r="M138" s="687" t="s">
        <v>926</v>
      </c>
      <c r="N138" s="161"/>
      <c r="O138" s="686">
        <f t="shared" ref="O138" si="61">IF(O137=0,,O136/O137/12)</f>
        <v>0</v>
      </c>
    </row>
    <row r="139" spans="1:15">
      <c r="A139" s="693" t="s">
        <v>1726</v>
      </c>
      <c r="B139" s="681" t="s">
        <v>725</v>
      </c>
      <c r="C139" s="699"/>
      <c r="D139" s="699"/>
      <c r="L139" s="1269" t="s">
        <v>1726</v>
      </c>
      <c r="M139" s="681" t="s">
        <v>725</v>
      </c>
      <c r="N139" s="698"/>
      <c r="O139" s="698"/>
    </row>
    <row r="140" spans="1:15">
      <c r="A140" s="693" t="s">
        <v>1727</v>
      </c>
      <c r="B140" s="681" t="s">
        <v>632</v>
      </c>
      <c r="C140" s="682">
        <f t="shared" ref="C140:D140" si="62">SUM(C141:C155)</f>
        <v>0</v>
      </c>
      <c r="D140" s="682">
        <f t="shared" si="62"/>
        <v>0</v>
      </c>
      <c r="L140" s="1269" t="s">
        <v>1727</v>
      </c>
      <c r="M140" s="681" t="s">
        <v>632</v>
      </c>
      <c r="N140" s="1268"/>
      <c r="O140" s="682">
        <f t="shared" ref="O140" si="63">SUM(O141:O155)</f>
        <v>0</v>
      </c>
    </row>
    <row r="141" spans="1:15">
      <c r="A141" s="1269" t="s">
        <v>1728</v>
      </c>
      <c r="B141" s="699"/>
      <c r="C141" s="699"/>
      <c r="D141" s="699"/>
      <c r="L141" s="1269" t="s">
        <v>1728</v>
      </c>
      <c r="M141" s="698"/>
      <c r="N141" s="698"/>
      <c r="O141" s="698"/>
    </row>
    <row r="142" spans="1:15">
      <c r="A142" s="1269" t="s">
        <v>1729</v>
      </c>
      <c r="B142" s="699"/>
      <c r="C142" s="699"/>
      <c r="D142" s="699"/>
      <c r="L142" s="1269" t="s">
        <v>1729</v>
      </c>
      <c r="M142" s="698"/>
      <c r="N142" s="698"/>
      <c r="O142" s="698"/>
    </row>
    <row r="143" spans="1:15">
      <c r="A143" s="1269" t="s">
        <v>1730</v>
      </c>
      <c r="B143" s="699"/>
      <c r="C143" s="699"/>
      <c r="D143" s="699"/>
      <c r="L143" s="1269" t="s">
        <v>1730</v>
      </c>
      <c r="M143" s="698"/>
      <c r="N143" s="698"/>
      <c r="O143" s="698"/>
    </row>
    <row r="144" spans="1:15" ht="15.75" customHeight="1" outlineLevel="1">
      <c r="A144" s="1269" t="s">
        <v>1731</v>
      </c>
      <c r="B144" s="699"/>
      <c r="C144" s="699"/>
      <c r="D144" s="699"/>
      <c r="L144" s="1269" t="s">
        <v>1731</v>
      </c>
      <c r="M144" s="698"/>
      <c r="N144" s="698"/>
      <c r="O144" s="698"/>
    </row>
    <row r="145" spans="1:15" ht="15.75" customHeight="1" outlineLevel="1">
      <c r="A145" s="1269" t="s">
        <v>1732</v>
      </c>
      <c r="B145" s="699"/>
      <c r="C145" s="699"/>
      <c r="D145" s="699"/>
      <c r="L145" s="1269" t="s">
        <v>1732</v>
      </c>
      <c r="M145" s="698"/>
      <c r="N145" s="698"/>
      <c r="O145" s="698"/>
    </row>
    <row r="146" spans="1:15" ht="15.75" customHeight="1" outlineLevel="1">
      <c r="A146" s="1269" t="s">
        <v>1733</v>
      </c>
      <c r="B146" s="699"/>
      <c r="C146" s="699"/>
      <c r="D146" s="699"/>
      <c r="L146" s="1269" t="s">
        <v>1733</v>
      </c>
      <c r="M146" s="698"/>
      <c r="N146" s="698"/>
      <c r="O146" s="698"/>
    </row>
    <row r="147" spans="1:15" ht="15.75" customHeight="1" outlineLevel="1">
      <c r="A147" s="1269" t="s">
        <v>1734</v>
      </c>
      <c r="B147" s="699"/>
      <c r="C147" s="699"/>
      <c r="D147" s="699"/>
      <c r="L147" s="1269" t="s">
        <v>1734</v>
      </c>
      <c r="M147" s="698"/>
      <c r="N147" s="698"/>
      <c r="O147" s="698"/>
    </row>
    <row r="148" spans="1:15" ht="15.75" customHeight="1" outlineLevel="1">
      <c r="A148" s="1269" t="s">
        <v>1735</v>
      </c>
      <c r="B148" s="699"/>
      <c r="C148" s="699"/>
      <c r="D148" s="699"/>
      <c r="L148" s="1269" t="s">
        <v>1735</v>
      </c>
      <c r="M148" s="698"/>
      <c r="N148" s="698"/>
      <c r="O148" s="698"/>
    </row>
    <row r="149" spans="1:15" ht="15.75" customHeight="1" outlineLevel="1">
      <c r="A149" s="1269" t="s">
        <v>1736</v>
      </c>
      <c r="B149" s="699"/>
      <c r="C149" s="699"/>
      <c r="D149" s="699"/>
      <c r="L149" s="1269" t="s">
        <v>1736</v>
      </c>
      <c r="M149" s="698"/>
      <c r="N149" s="698"/>
      <c r="O149" s="698"/>
    </row>
    <row r="150" spans="1:15" ht="15.75" customHeight="1" outlineLevel="1">
      <c r="A150" s="1269" t="s">
        <v>1737</v>
      </c>
      <c r="B150" s="699"/>
      <c r="C150" s="699"/>
      <c r="D150" s="699"/>
      <c r="L150" s="1269" t="s">
        <v>1737</v>
      </c>
      <c r="M150" s="698"/>
      <c r="N150" s="698"/>
      <c r="O150" s="698"/>
    </row>
    <row r="151" spans="1:15" ht="15.75" customHeight="1" outlineLevel="1">
      <c r="A151" s="1269" t="s">
        <v>1738</v>
      </c>
      <c r="B151" s="699"/>
      <c r="C151" s="699"/>
      <c r="D151" s="699"/>
      <c r="L151" s="1269" t="s">
        <v>1738</v>
      </c>
      <c r="M151" s="698"/>
      <c r="N151" s="698"/>
      <c r="O151" s="698"/>
    </row>
    <row r="152" spans="1:15" ht="15.75" customHeight="1" outlineLevel="1">
      <c r="A152" s="1269" t="s">
        <v>1739</v>
      </c>
      <c r="B152" s="699"/>
      <c r="C152" s="699"/>
      <c r="D152" s="699"/>
      <c r="L152" s="1269" t="s">
        <v>1739</v>
      </c>
      <c r="M152" s="698"/>
      <c r="N152" s="698"/>
      <c r="O152" s="698"/>
    </row>
    <row r="153" spans="1:15" ht="15.75" customHeight="1" outlineLevel="1">
      <c r="A153" s="1269" t="s">
        <v>1740</v>
      </c>
      <c r="B153" s="699"/>
      <c r="C153" s="699"/>
      <c r="D153" s="699"/>
      <c r="L153" s="1269" t="s">
        <v>1740</v>
      </c>
      <c r="M153" s="698"/>
      <c r="N153" s="698"/>
      <c r="O153" s="698"/>
    </row>
    <row r="154" spans="1:15" ht="15.75" customHeight="1" outlineLevel="1">
      <c r="A154" s="1269" t="s">
        <v>1741</v>
      </c>
      <c r="B154" s="699"/>
      <c r="C154" s="699"/>
      <c r="D154" s="699"/>
      <c r="L154" s="1269" t="s">
        <v>1741</v>
      </c>
      <c r="M154" s="698"/>
      <c r="N154" s="698"/>
      <c r="O154" s="698"/>
    </row>
    <row r="155" spans="1:15" ht="15.75" customHeight="1" outlineLevel="1">
      <c r="A155" s="1269" t="s">
        <v>1742</v>
      </c>
      <c r="B155" s="699"/>
      <c r="C155" s="699"/>
      <c r="D155" s="699"/>
      <c r="L155" s="1269" t="s">
        <v>1742</v>
      </c>
      <c r="M155" s="698"/>
      <c r="N155" s="698"/>
      <c r="O155" s="698"/>
    </row>
    <row r="156" spans="1:15">
      <c r="A156" s="1353" t="s">
        <v>675</v>
      </c>
      <c r="B156" s="673" t="s">
        <v>764</v>
      </c>
      <c r="C156" s="700">
        <f t="shared" ref="C156:D156" si="64">SUM(C157:C158)</f>
        <v>0</v>
      </c>
      <c r="D156" s="700">
        <f t="shared" si="64"/>
        <v>0</v>
      </c>
      <c r="L156" s="672" t="s">
        <v>675</v>
      </c>
      <c r="M156" s="673" t="s">
        <v>764</v>
      </c>
      <c r="N156" s="1271"/>
      <c r="O156" s="700">
        <f t="shared" ref="O156" si="65">SUM(O157:O158)</f>
        <v>0</v>
      </c>
    </row>
    <row r="157" spans="1:15">
      <c r="A157" s="1269" t="s">
        <v>276</v>
      </c>
      <c r="B157" s="681" t="s">
        <v>857</v>
      </c>
      <c r="C157" s="677"/>
      <c r="D157" s="677"/>
      <c r="L157" s="693" t="s">
        <v>276</v>
      </c>
      <c r="M157" s="681" t="s">
        <v>857</v>
      </c>
      <c r="N157" s="1267"/>
      <c r="O157" s="677"/>
    </row>
    <row r="158" spans="1:15">
      <c r="A158" s="1269" t="s">
        <v>858</v>
      </c>
      <c r="B158" s="681" t="s">
        <v>859</v>
      </c>
      <c r="C158" s="677"/>
      <c r="D158" s="677"/>
      <c r="L158" s="693" t="s">
        <v>858</v>
      </c>
      <c r="M158" s="681" t="s">
        <v>859</v>
      </c>
      <c r="N158" s="1267"/>
      <c r="O158" s="677"/>
    </row>
    <row r="159" spans="1:15" ht="28.5">
      <c r="A159" s="1353" t="s">
        <v>675</v>
      </c>
      <c r="B159" s="701" t="s">
        <v>765</v>
      </c>
      <c r="C159" s="691">
        <f t="shared" ref="C159:D159" si="66">SUM(C160:C161)</f>
        <v>0</v>
      </c>
      <c r="D159" s="691">
        <f t="shared" si="66"/>
        <v>0</v>
      </c>
      <c r="L159" s="672" t="s">
        <v>675</v>
      </c>
      <c r="M159" s="701" t="s">
        <v>765</v>
      </c>
      <c r="N159" s="1267"/>
      <c r="O159" s="691">
        <f t="shared" ref="O159" si="67">SUM(O160:O161)</f>
        <v>0</v>
      </c>
    </row>
    <row r="160" spans="1:15" ht="30">
      <c r="A160" s="1269" t="s">
        <v>767</v>
      </c>
      <c r="B160" s="681" t="s">
        <v>860</v>
      </c>
      <c r="C160" s="699"/>
      <c r="D160" s="699"/>
      <c r="L160" s="693" t="s">
        <v>767</v>
      </c>
      <c r="M160" s="681" t="s">
        <v>860</v>
      </c>
      <c r="N160" s="698"/>
      <c r="O160" s="698"/>
    </row>
    <row r="161" spans="1:15" ht="30">
      <c r="A161" s="1269" t="s">
        <v>768</v>
      </c>
      <c r="B161" s="681" t="s">
        <v>861</v>
      </c>
      <c r="C161" s="699"/>
      <c r="D161" s="699"/>
      <c r="L161" s="693" t="s">
        <v>768</v>
      </c>
      <c r="M161" s="681" t="s">
        <v>861</v>
      </c>
      <c r="N161" s="698"/>
      <c r="O161" s="698"/>
    </row>
    <row r="162" spans="1:15" ht="28.5">
      <c r="A162" s="1353" t="s">
        <v>680</v>
      </c>
      <c r="B162" s="702" t="s">
        <v>766</v>
      </c>
      <c r="C162" s="691">
        <f t="shared" ref="C162:D162" si="68">SUM(C163:C166)</f>
        <v>0</v>
      </c>
      <c r="D162" s="691">
        <f t="shared" si="68"/>
        <v>0</v>
      </c>
      <c r="L162" s="672" t="s">
        <v>680</v>
      </c>
      <c r="M162" s="702" t="s">
        <v>766</v>
      </c>
      <c r="N162" s="1267"/>
      <c r="O162" s="691">
        <f t="shared" ref="O162" si="69">SUM(O163:O166)</f>
        <v>0</v>
      </c>
    </row>
    <row r="163" spans="1:15">
      <c r="A163" s="1269" t="s">
        <v>862</v>
      </c>
      <c r="B163" s="681" t="s">
        <v>1743</v>
      </c>
      <c r="C163" s="699"/>
      <c r="D163" s="699"/>
      <c r="L163" s="693" t="s">
        <v>862</v>
      </c>
      <c r="M163" s="681" t="s">
        <v>1743</v>
      </c>
      <c r="N163" s="698"/>
      <c r="O163" s="698"/>
    </row>
    <row r="164" spans="1:15">
      <c r="A164" s="1269" t="s">
        <v>864</v>
      </c>
      <c r="B164" s="681" t="s">
        <v>1744</v>
      </c>
      <c r="C164" s="699"/>
      <c r="D164" s="699"/>
      <c r="L164" s="693" t="s">
        <v>864</v>
      </c>
      <c r="M164" s="681" t="s">
        <v>1744</v>
      </c>
      <c r="N164" s="698"/>
      <c r="O164" s="698"/>
    </row>
    <row r="165" spans="1:15">
      <c r="A165" s="1269" t="s">
        <v>866</v>
      </c>
      <c r="B165" s="681" t="s">
        <v>1745</v>
      </c>
      <c r="C165" s="699"/>
      <c r="D165" s="699"/>
      <c r="L165" s="693" t="s">
        <v>866</v>
      </c>
      <c r="M165" s="681" t="s">
        <v>1745</v>
      </c>
      <c r="N165" s="698"/>
      <c r="O165" s="698"/>
    </row>
    <row r="166" spans="1:15">
      <c r="A166" s="1269" t="s">
        <v>868</v>
      </c>
      <c r="B166" s="681" t="s">
        <v>869</v>
      </c>
      <c r="C166" s="704"/>
      <c r="D166" s="704"/>
      <c r="L166" s="693" t="s">
        <v>868</v>
      </c>
      <c r="M166" s="681" t="s">
        <v>869</v>
      </c>
      <c r="N166" s="703"/>
      <c r="O166" s="703"/>
    </row>
    <row r="167" spans="1:15">
      <c r="A167" s="1353" t="s">
        <v>681</v>
      </c>
      <c r="B167" s="702" t="s">
        <v>769</v>
      </c>
      <c r="C167" s="691">
        <f t="shared" ref="C167:D167" si="70">SUM(C168:C173)</f>
        <v>0</v>
      </c>
      <c r="D167" s="691">
        <f t="shared" si="70"/>
        <v>0</v>
      </c>
      <c r="L167" s="672" t="s">
        <v>681</v>
      </c>
      <c r="M167" s="702" t="s">
        <v>769</v>
      </c>
      <c r="N167" s="1267"/>
      <c r="O167" s="691">
        <f t="shared" ref="O167" si="71">SUM(O168:O173)</f>
        <v>0</v>
      </c>
    </row>
    <row r="168" spans="1:15">
      <c r="A168" s="1357" t="s">
        <v>511</v>
      </c>
      <c r="B168" s="681" t="s">
        <v>871</v>
      </c>
      <c r="C168" s="699"/>
      <c r="D168" s="699"/>
      <c r="L168" s="692" t="s">
        <v>511</v>
      </c>
      <c r="M168" s="681" t="s">
        <v>871</v>
      </c>
      <c r="N168" s="698"/>
      <c r="O168" s="698"/>
    </row>
    <row r="169" spans="1:15">
      <c r="A169" s="1357" t="s">
        <v>513</v>
      </c>
      <c r="B169" s="681" t="s">
        <v>873</v>
      </c>
      <c r="C169" s="699"/>
      <c r="D169" s="699"/>
      <c r="L169" s="692" t="s">
        <v>513</v>
      </c>
      <c r="M169" s="681" t="s">
        <v>873</v>
      </c>
      <c r="N169" s="698"/>
      <c r="O169" s="698"/>
    </row>
    <row r="170" spans="1:15">
      <c r="A170" s="1357" t="s">
        <v>770</v>
      </c>
      <c r="B170" s="681" t="s">
        <v>875</v>
      </c>
      <c r="C170" s="699"/>
      <c r="D170" s="699"/>
      <c r="L170" s="692" t="s">
        <v>770</v>
      </c>
      <c r="M170" s="681" t="s">
        <v>875</v>
      </c>
      <c r="N170" s="698"/>
      <c r="O170" s="698"/>
    </row>
    <row r="171" spans="1:15">
      <c r="A171" s="1357" t="s">
        <v>771</v>
      </c>
      <c r="B171" s="681" t="s">
        <v>877</v>
      </c>
      <c r="C171" s="699"/>
      <c r="D171" s="699"/>
      <c r="L171" s="692" t="s">
        <v>771</v>
      </c>
      <c r="M171" s="681" t="s">
        <v>877</v>
      </c>
      <c r="N171" s="698"/>
      <c r="O171" s="698"/>
    </row>
    <row r="172" spans="1:15">
      <c r="A172" s="1357" t="s">
        <v>1746</v>
      </c>
      <c r="B172" s="681" t="s">
        <v>879</v>
      </c>
      <c r="C172" s="699"/>
      <c r="D172" s="699"/>
      <c r="L172" s="692" t="s">
        <v>1746</v>
      </c>
      <c r="M172" s="681" t="s">
        <v>879</v>
      </c>
      <c r="N172" s="698"/>
      <c r="O172" s="698"/>
    </row>
    <row r="173" spans="1:15">
      <c r="A173" s="1357" t="s">
        <v>1747</v>
      </c>
      <c r="B173" s="681" t="s">
        <v>881</v>
      </c>
      <c r="C173" s="699"/>
      <c r="D173" s="699"/>
      <c r="L173" s="692" t="s">
        <v>1747</v>
      </c>
      <c r="M173" s="681" t="s">
        <v>881</v>
      </c>
      <c r="N173" s="698"/>
      <c r="O173" s="698"/>
    </row>
    <row r="174" spans="1:15">
      <c r="A174" s="1353" t="s">
        <v>684</v>
      </c>
      <c r="B174" s="702" t="s">
        <v>772</v>
      </c>
      <c r="C174" s="705">
        <f>SUM(C176:C178)</f>
        <v>0</v>
      </c>
      <c r="D174" s="705">
        <f>SUM(D176:D178)</f>
        <v>0</v>
      </c>
      <c r="L174" s="672" t="s">
        <v>684</v>
      </c>
      <c r="M174" s="702" t="s">
        <v>772</v>
      </c>
      <c r="N174" s="1272"/>
      <c r="O174" s="705">
        <f>SUM(O176:O178)</f>
        <v>0</v>
      </c>
    </row>
    <row r="175" spans="1:15">
      <c r="A175" s="1269" t="s">
        <v>773</v>
      </c>
      <c r="B175" s="681" t="s">
        <v>1748</v>
      </c>
      <c r="C175" s="686"/>
      <c r="D175" s="686"/>
      <c r="L175" s="693" t="s">
        <v>773</v>
      </c>
      <c r="M175" s="681" t="s">
        <v>1748</v>
      </c>
      <c r="N175" s="161"/>
      <c r="O175" s="686"/>
    </row>
    <row r="176" spans="1:15">
      <c r="A176" s="1269" t="s">
        <v>774</v>
      </c>
      <c r="B176" s="681" t="s">
        <v>775</v>
      </c>
      <c r="C176" s="706"/>
      <c r="D176" s="706"/>
      <c r="L176" s="693" t="s">
        <v>774</v>
      </c>
      <c r="M176" s="681" t="s">
        <v>775</v>
      </c>
      <c r="N176" s="161"/>
      <c r="O176" s="161"/>
    </row>
    <row r="177" spans="1:19">
      <c r="A177" s="1269" t="s">
        <v>1749</v>
      </c>
      <c r="B177" s="681" t="s">
        <v>676</v>
      </c>
      <c r="C177" s="706"/>
      <c r="D177" s="706"/>
      <c r="L177" s="693" t="s">
        <v>1749</v>
      </c>
      <c r="M177" s="681" t="s">
        <v>676</v>
      </c>
      <c r="N177" s="161"/>
      <c r="O177" s="161"/>
    </row>
    <row r="178" spans="1:19">
      <c r="A178" s="1269" t="s">
        <v>1750</v>
      </c>
      <c r="B178" s="681" t="s">
        <v>677</v>
      </c>
      <c r="C178" s="706"/>
      <c r="D178" s="706"/>
      <c r="L178" s="693" t="s">
        <v>1750</v>
      </c>
      <c r="M178" s="681" t="s">
        <v>677</v>
      </c>
      <c r="N178" s="161"/>
      <c r="O178" s="161"/>
    </row>
    <row r="179" spans="1:19">
      <c r="A179" s="1269" t="s">
        <v>1751</v>
      </c>
      <c r="B179" s="681"/>
      <c r="C179" s="686"/>
      <c r="D179" s="686"/>
      <c r="L179" s="693" t="s">
        <v>1751</v>
      </c>
      <c r="M179" s="681"/>
      <c r="N179" s="161"/>
      <c r="O179" s="686"/>
    </row>
    <row r="180" spans="1:19">
      <c r="A180" s="1358" t="s">
        <v>1752</v>
      </c>
      <c r="B180" s="708" t="s">
        <v>776</v>
      </c>
      <c r="C180" s="686"/>
      <c r="D180" s="686"/>
      <c r="L180" s="707" t="s">
        <v>1752</v>
      </c>
      <c r="M180" s="708" t="s">
        <v>776</v>
      </c>
      <c r="N180" s="161"/>
      <c r="O180" s="686"/>
    </row>
    <row r="181" spans="1:19">
      <c r="A181" s="1358" t="s">
        <v>1753</v>
      </c>
      <c r="B181" s="708" t="s">
        <v>777</v>
      </c>
      <c r="C181" s="686"/>
      <c r="D181" s="686"/>
      <c r="L181" s="707" t="s">
        <v>1753</v>
      </c>
      <c r="M181" s="708" t="s">
        <v>777</v>
      </c>
      <c r="N181" s="161"/>
      <c r="O181" s="686"/>
    </row>
    <row r="182" spans="1:19" ht="13.5" customHeight="1">
      <c r="A182" s="1353" t="s">
        <v>779</v>
      </c>
      <c r="B182" s="709" t="s">
        <v>1754</v>
      </c>
      <c r="C182" s="691">
        <f t="shared" ref="C182:D182" si="72">C174+C167+C162+C159+C156+C135+C107+C82+C10+C180+C181</f>
        <v>0</v>
      </c>
      <c r="D182" s="691">
        <f t="shared" si="72"/>
        <v>0</v>
      </c>
      <c r="L182" s="672" t="s">
        <v>779</v>
      </c>
      <c r="M182" s="709" t="s">
        <v>1754</v>
      </c>
      <c r="N182" s="1267"/>
      <c r="O182" s="691">
        <f t="shared" ref="O182" si="73">O174+O167+O162+O159+O156+O135+O107+O82+O10+O180+O181</f>
        <v>0</v>
      </c>
    </row>
    <row r="183" spans="1:19" ht="13.5" customHeight="1">
      <c r="A183" s="1273"/>
      <c r="B183" s="1274"/>
      <c r="C183" s="1275"/>
      <c r="D183" s="1275"/>
      <c r="E183" s="1275"/>
      <c r="F183" s="1275"/>
      <c r="G183" s="1275"/>
      <c r="H183" s="1275"/>
      <c r="I183" s="1275"/>
      <c r="J183" s="1275"/>
      <c r="K183" s="1275"/>
      <c r="L183" s="1273"/>
      <c r="M183" s="1274"/>
      <c r="N183" s="1275"/>
      <c r="O183" s="1275"/>
      <c r="P183" s="1275"/>
      <c r="Q183" s="1275"/>
      <c r="R183" s="1275"/>
      <c r="S183" s="1275"/>
    </row>
    <row r="184" spans="1:19" ht="13.5" customHeight="1">
      <c r="A184" s="1273"/>
      <c r="B184" s="1274"/>
      <c r="C184" s="1275"/>
      <c r="D184" s="1275"/>
      <c r="E184" s="1275"/>
      <c r="F184" s="1275"/>
      <c r="G184" s="1275"/>
      <c r="H184" s="1275"/>
      <c r="I184" s="1275"/>
      <c r="J184" s="1275"/>
      <c r="K184" s="1275"/>
      <c r="L184" s="1273"/>
      <c r="M184" s="1274"/>
      <c r="N184" s="1275"/>
      <c r="O184" s="1275"/>
      <c r="P184" s="1275"/>
      <c r="Q184" s="1275"/>
      <c r="R184" s="1275"/>
      <c r="S184" s="1275"/>
    </row>
    <row r="185" spans="1:19" s="3" customFormat="1" ht="18.75">
      <c r="A185" s="1585" t="s">
        <v>930</v>
      </c>
      <c r="B185" s="1585"/>
      <c r="C185" s="1585"/>
      <c r="D185" s="1585"/>
      <c r="E185" s="1585"/>
      <c r="J185" s="1586"/>
      <c r="K185" s="1586"/>
      <c r="L185" s="1585" t="s">
        <v>930</v>
      </c>
      <c r="M185" s="1585"/>
      <c r="N185" s="1585"/>
      <c r="O185" s="1585"/>
      <c r="P185" s="1585"/>
    </row>
    <row r="186" spans="1:19" s="3" customFormat="1">
      <c r="A186" s="5"/>
      <c r="B186" s="5"/>
      <c r="C186" s="5"/>
      <c r="D186" s="5"/>
      <c r="E186" s="5"/>
      <c r="L186" s="5"/>
      <c r="M186" s="5"/>
      <c r="N186" s="5"/>
    </row>
    <row r="187" spans="1:19" s="3" customFormat="1" ht="25.5" customHeight="1">
      <c r="A187" s="1587" t="s">
        <v>533</v>
      </c>
      <c r="B187" s="1587" t="s">
        <v>883</v>
      </c>
      <c r="C187" s="1587" t="s">
        <v>574</v>
      </c>
      <c r="D187" s="1336">
        <f>C8</f>
        <v>2016</v>
      </c>
      <c r="E187" s="1336">
        <f>D8</f>
        <v>2018</v>
      </c>
      <c r="L187" s="1587" t="s">
        <v>533</v>
      </c>
      <c r="M187" s="1587" t="s">
        <v>883</v>
      </c>
      <c r="N187" s="1587" t="s">
        <v>574</v>
      </c>
      <c r="O187" s="1451" t="str">
        <f>N8</f>
        <v>2017 утв.</v>
      </c>
      <c r="P187" s="1451" t="str">
        <f>O8</f>
        <v>предложение эксперта на 2018 г</v>
      </c>
    </row>
    <row r="188" spans="1:19" s="3" customFormat="1" ht="30" customHeight="1">
      <c r="A188" s="1587"/>
      <c r="B188" s="1587"/>
      <c r="C188" s="1587"/>
      <c r="D188" s="1337" t="s">
        <v>376</v>
      </c>
      <c r="E188" s="608" t="str">
        <f>D9</f>
        <v xml:space="preserve">план организации </v>
      </c>
      <c r="L188" s="1587"/>
      <c r="M188" s="1587"/>
      <c r="N188" s="1587"/>
      <c r="O188" s="1452"/>
      <c r="P188" s="1452"/>
    </row>
    <row r="189" spans="1:19" s="3" customFormat="1" ht="24.95" customHeight="1">
      <c r="A189" s="1583"/>
      <c r="B189" s="710" t="s">
        <v>884</v>
      </c>
      <c r="C189" s="1340" t="s">
        <v>885</v>
      </c>
      <c r="D189" s="163">
        <f>D190+D191+D192</f>
        <v>0</v>
      </c>
      <c r="E189" s="163">
        <f t="shared" ref="E189" si="74">E190+E191+E192</f>
        <v>0</v>
      </c>
      <c r="L189" s="1583"/>
      <c r="M189" s="710" t="s">
        <v>884</v>
      </c>
      <c r="N189" s="1340" t="s">
        <v>885</v>
      </c>
      <c r="O189" s="170"/>
      <c r="P189" s="163">
        <f t="shared" ref="P189" si="75">P190+P191+P192</f>
        <v>0</v>
      </c>
    </row>
    <row r="190" spans="1:19" s="3" customFormat="1" ht="24.95" customHeight="1">
      <c r="A190" s="1583"/>
      <c r="B190" s="712" t="s">
        <v>886</v>
      </c>
      <c r="C190" s="1338" t="s">
        <v>885</v>
      </c>
      <c r="D190" s="711"/>
      <c r="E190" s="711"/>
      <c r="L190" s="1583"/>
      <c r="M190" s="712" t="s">
        <v>886</v>
      </c>
      <c r="N190" s="1338" t="s">
        <v>885</v>
      </c>
      <c r="O190" s="169"/>
      <c r="P190" s="169"/>
    </row>
    <row r="191" spans="1:19" s="3" customFormat="1" ht="24.95" customHeight="1">
      <c r="A191" s="1583"/>
      <c r="B191" s="712" t="s">
        <v>887</v>
      </c>
      <c r="C191" s="1338" t="s">
        <v>885</v>
      </c>
      <c r="D191" s="711"/>
      <c r="E191" s="711"/>
      <c r="L191" s="1583"/>
      <c r="M191" s="712" t="s">
        <v>887</v>
      </c>
      <c r="N191" s="1338" t="s">
        <v>885</v>
      </c>
      <c r="O191" s="169"/>
      <c r="P191" s="169"/>
    </row>
    <row r="192" spans="1:19" s="3" customFormat="1" ht="24.95" customHeight="1">
      <c r="A192" s="1583"/>
      <c r="B192" s="713" t="s">
        <v>888</v>
      </c>
      <c r="C192" s="1338" t="s">
        <v>885</v>
      </c>
      <c r="D192" s="711"/>
      <c r="E192" s="711"/>
      <c r="L192" s="1583"/>
      <c r="M192" s="713" t="s">
        <v>888</v>
      </c>
      <c r="N192" s="1338" t="s">
        <v>885</v>
      </c>
      <c r="O192" s="169"/>
      <c r="P192" s="169"/>
    </row>
    <row r="193" spans="1:16" s="3" customFormat="1" ht="24.95" customHeight="1">
      <c r="A193" s="1341" t="s">
        <v>222</v>
      </c>
      <c r="B193" s="162" t="s">
        <v>889</v>
      </c>
      <c r="C193" s="1341" t="s">
        <v>885</v>
      </c>
      <c r="D193" s="163">
        <f>D194+D195+D196</f>
        <v>0</v>
      </c>
      <c r="E193" s="163">
        <f t="shared" ref="E193" si="76">E194+E195+E196</f>
        <v>0</v>
      </c>
      <c r="L193" s="1341" t="s">
        <v>222</v>
      </c>
      <c r="M193" s="162" t="s">
        <v>889</v>
      </c>
      <c r="N193" s="1341" t="s">
        <v>885</v>
      </c>
      <c r="O193" s="170"/>
      <c r="P193" s="163">
        <f t="shared" ref="P193" si="77">P194+P195+P196</f>
        <v>0</v>
      </c>
    </row>
    <row r="194" spans="1:16" s="3" customFormat="1" ht="24.95" customHeight="1">
      <c r="A194" s="171" t="s">
        <v>190</v>
      </c>
      <c r="B194" s="164" t="s">
        <v>886</v>
      </c>
      <c r="C194" s="165" t="s">
        <v>885</v>
      </c>
      <c r="D194" s="714"/>
      <c r="E194" s="714"/>
      <c r="L194" s="171" t="s">
        <v>190</v>
      </c>
      <c r="M194" s="164" t="s">
        <v>886</v>
      </c>
      <c r="N194" s="165" t="s">
        <v>885</v>
      </c>
      <c r="O194" s="170"/>
      <c r="P194" s="170"/>
    </row>
    <row r="195" spans="1:16" s="3" customFormat="1" ht="24.95" customHeight="1">
      <c r="A195" s="171" t="s">
        <v>191</v>
      </c>
      <c r="B195" s="164" t="s">
        <v>887</v>
      </c>
      <c r="C195" s="165" t="s">
        <v>885</v>
      </c>
      <c r="D195" s="714"/>
      <c r="E195" s="714"/>
      <c r="L195" s="171" t="s">
        <v>191</v>
      </c>
      <c r="M195" s="164" t="s">
        <v>887</v>
      </c>
      <c r="N195" s="165" t="s">
        <v>885</v>
      </c>
      <c r="O195" s="170"/>
      <c r="P195" s="170"/>
    </row>
    <row r="196" spans="1:16" s="3" customFormat="1" ht="24.95" customHeight="1">
      <c r="A196" s="171"/>
      <c r="B196" s="164" t="s">
        <v>888</v>
      </c>
      <c r="C196" s="165" t="s">
        <v>885</v>
      </c>
      <c r="D196" s="714"/>
      <c r="E196" s="714"/>
      <c r="L196" s="171"/>
      <c r="M196" s="164" t="s">
        <v>888</v>
      </c>
      <c r="N196" s="165" t="s">
        <v>885</v>
      </c>
      <c r="O196" s="170"/>
      <c r="P196" s="170"/>
    </row>
    <row r="197" spans="1:16" s="3" customFormat="1" ht="20.100000000000001" customHeight="1">
      <c r="A197" s="165" t="s">
        <v>228</v>
      </c>
      <c r="B197" s="166" t="s">
        <v>890</v>
      </c>
      <c r="C197" s="165"/>
      <c r="D197" s="167" t="s">
        <v>480</v>
      </c>
      <c r="E197" s="167" t="s">
        <v>480</v>
      </c>
      <c r="L197" s="165" t="s">
        <v>228</v>
      </c>
      <c r="M197" s="166" t="s">
        <v>890</v>
      </c>
      <c r="N197" s="165"/>
      <c r="O197" s="169"/>
      <c r="P197" s="167" t="s">
        <v>480</v>
      </c>
    </row>
    <row r="198" spans="1:16" s="3" customFormat="1" ht="20.100000000000001" customHeight="1">
      <c r="A198" s="172" t="s">
        <v>428</v>
      </c>
      <c r="B198" s="166" t="s">
        <v>891</v>
      </c>
      <c r="C198" s="165" t="s">
        <v>542</v>
      </c>
      <c r="D198" s="711"/>
      <c r="E198" s="711"/>
      <c r="L198" s="172" t="s">
        <v>428</v>
      </c>
      <c r="M198" s="166" t="s">
        <v>891</v>
      </c>
      <c r="N198" s="165" t="s">
        <v>542</v>
      </c>
      <c r="O198" s="169"/>
      <c r="P198" s="169"/>
    </row>
    <row r="199" spans="1:16" s="3" customFormat="1" ht="20.100000000000001" customHeight="1">
      <c r="A199" s="165" t="s">
        <v>431</v>
      </c>
      <c r="B199" s="1335" t="s">
        <v>892</v>
      </c>
      <c r="C199" s="165"/>
      <c r="D199" s="711"/>
      <c r="E199" s="711"/>
      <c r="L199" s="165" t="s">
        <v>431</v>
      </c>
      <c r="M199" s="1335" t="s">
        <v>892</v>
      </c>
      <c r="N199" s="165"/>
      <c r="O199" s="169"/>
      <c r="P199" s="169"/>
    </row>
    <row r="200" spans="1:16" s="3" customFormat="1" ht="20.100000000000001" customHeight="1">
      <c r="A200" s="165" t="s">
        <v>433</v>
      </c>
      <c r="B200" s="166" t="s">
        <v>893</v>
      </c>
      <c r="C200" s="168"/>
      <c r="D200" s="711"/>
      <c r="E200" s="711"/>
      <c r="L200" s="165" t="s">
        <v>433</v>
      </c>
      <c r="M200" s="166" t="s">
        <v>893</v>
      </c>
      <c r="N200" s="168"/>
      <c r="O200" s="169"/>
      <c r="P200" s="169"/>
    </row>
    <row r="201" spans="1:16" s="3" customFormat="1" ht="28.5" customHeight="1">
      <c r="A201" s="165" t="s">
        <v>711</v>
      </c>
      <c r="B201" s="166" t="s">
        <v>894</v>
      </c>
      <c r="C201" s="165" t="s">
        <v>542</v>
      </c>
      <c r="D201" s="167">
        <f>D198*D199*D200</f>
        <v>0</v>
      </c>
      <c r="E201" s="167">
        <f>E198*E199*E200</f>
        <v>0</v>
      </c>
      <c r="L201" s="165" t="s">
        <v>711</v>
      </c>
      <c r="M201" s="166" t="s">
        <v>894</v>
      </c>
      <c r="N201" s="165" t="s">
        <v>542</v>
      </c>
      <c r="O201" s="169"/>
      <c r="P201" s="167">
        <f>P198*P199*P200</f>
        <v>0</v>
      </c>
    </row>
    <row r="202" spans="1:16" s="3" customFormat="1" ht="20.100000000000001" customHeight="1">
      <c r="A202" s="165" t="s">
        <v>712</v>
      </c>
      <c r="B202" s="166" t="s">
        <v>895</v>
      </c>
      <c r="C202" s="165"/>
      <c r="D202" s="714"/>
      <c r="E202" s="714"/>
      <c r="L202" s="165" t="s">
        <v>712</v>
      </c>
      <c r="M202" s="166" t="s">
        <v>895</v>
      </c>
      <c r="N202" s="165"/>
      <c r="O202" s="170"/>
      <c r="P202" s="170"/>
    </row>
    <row r="203" spans="1:16" s="3" customFormat="1" ht="29.25" customHeight="1">
      <c r="A203" s="165" t="s">
        <v>713</v>
      </c>
      <c r="B203" s="166" t="s">
        <v>896</v>
      </c>
      <c r="C203" s="165"/>
      <c r="D203" s="714"/>
      <c r="E203" s="714"/>
      <c r="L203" s="165" t="s">
        <v>713</v>
      </c>
      <c r="M203" s="166" t="s">
        <v>896</v>
      </c>
      <c r="N203" s="165"/>
      <c r="O203" s="170"/>
      <c r="P203" s="170"/>
    </row>
    <row r="204" spans="1:16" s="3" customFormat="1" ht="20.100000000000001" customHeight="1">
      <c r="A204" s="1341" t="s">
        <v>897</v>
      </c>
      <c r="B204" s="162" t="s">
        <v>898</v>
      </c>
      <c r="C204" s="1341" t="s">
        <v>542</v>
      </c>
      <c r="D204" s="328">
        <f>D201*D203</f>
        <v>0</v>
      </c>
      <c r="E204" s="328">
        <f>E201*E203</f>
        <v>0</v>
      </c>
      <c r="L204" s="1341" t="s">
        <v>897</v>
      </c>
      <c r="M204" s="162" t="s">
        <v>898</v>
      </c>
      <c r="N204" s="1341" t="s">
        <v>542</v>
      </c>
      <c r="O204" s="715"/>
      <c r="P204" s="328">
        <f>P201*P203</f>
        <v>0</v>
      </c>
    </row>
    <row r="205" spans="1:16" s="3" customFormat="1" ht="30.75" customHeight="1">
      <c r="A205" s="165" t="s">
        <v>899</v>
      </c>
      <c r="B205" s="166" t="s">
        <v>900</v>
      </c>
      <c r="C205" s="165" t="s">
        <v>480</v>
      </c>
      <c r="D205" s="327" t="s">
        <v>480</v>
      </c>
      <c r="E205" s="327" t="s">
        <v>480</v>
      </c>
      <c r="L205" s="165" t="s">
        <v>899</v>
      </c>
      <c r="M205" s="166" t="s">
        <v>900</v>
      </c>
      <c r="N205" s="165" t="s">
        <v>480</v>
      </c>
      <c r="O205" s="1276"/>
      <c r="P205" s="327" t="s">
        <v>480</v>
      </c>
    </row>
    <row r="206" spans="1:16" s="3" customFormat="1" ht="20.100000000000001" customHeight="1">
      <c r="A206" s="165" t="s">
        <v>901</v>
      </c>
      <c r="B206" s="164" t="s">
        <v>902</v>
      </c>
      <c r="C206" s="165" t="s">
        <v>246</v>
      </c>
      <c r="D206" s="716"/>
      <c r="E206" s="716"/>
      <c r="L206" s="165" t="s">
        <v>901</v>
      </c>
      <c r="M206" s="164" t="s">
        <v>902</v>
      </c>
      <c r="N206" s="165" t="s">
        <v>246</v>
      </c>
      <c r="O206" s="717"/>
      <c r="P206" s="717"/>
    </row>
    <row r="207" spans="1:16" s="3" customFormat="1" ht="20.100000000000001" customHeight="1">
      <c r="A207" s="165" t="s">
        <v>903</v>
      </c>
      <c r="B207" s="164" t="s">
        <v>904</v>
      </c>
      <c r="C207" s="165" t="s">
        <v>542</v>
      </c>
      <c r="D207" s="327">
        <f>D206/100*D204</f>
        <v>0</v>
      </c>
      <c r="E207" s="327">
        <f>E206/100*E204</f>
        <v>0</v>
      </c>
      <c r="L207" s="165" t="s">
        <v>903</v>
      </c>
      <c r="M207" s="164" t="s">
        <v>904</v>
      </c>
      <c r="N207" s="165" t="s">
        <v>542</v>
      </c>
      <c r="O207" s="1276"/>
      <c r="P207" s="327">
        <f>P206/100*P204</f>
        <v>0</v>
      </c>
    </row>
    <row r="208" spans="1:16" s="3" customFormat="1" ht="20.100000000000001" customHeight="1">
      <c r="A208" s="165" t="s">
        <v>905</v>
      </c>
      <c r="B208" s="166" t="s">
        <v>906</v>
      </c>
      <c r="C208" s="165"/>
      <c r="D208" s="327" t="s">
        <v>480</v>
      </c>
      <c r="E208" s="327" t="s">
        <v>480</v>
      </c>
      <c r="L208" s="165" t="s">
        <v>905</v>
      </c>
      <c r="M208" s="166" t="s">
        <v>906</v>
      </c>
      <c r="N208" s="165"/>
      <c r="O208" s="1276"/>
      <c r="P208" s="327" t="s">
        <v>480</v>
      </c>
    </row>
    <row r="209" spans="1:16" s="3" customFormat="1" ht="20.100000000000001" customHeight="1">
      <c r="A209" s="165" t="s">
        <v>907</v>
      </c>
      <c r="B209" s="164" t="s">
        <v>902</v>
      </c>
      <c r="C209" s="165" t="s">
        <v>246</v>
      </c>
      <c r="D209" s="716"/>
      <c r="E209" s="716"/>
      <c r="L209" s="165" t="s">
        <v>907</v>
      </c>
      <c r="M209" s="164" t="s">
        <v>902</v>
      </c>
      <c r="N209" s="165" t="s">
        <v>246</v>
      </c>
      <c r="O209" s="717"/>
      <c r="P209" s="717"/>
    </row>
    <row r="210" spans="1:16" s="3" customFormat="1" ht="20.100000000000001" customHeight="1">
      <c r="A210" s="165" t="s">
        <v>908</v>
      </c>
      <c r="B210" s="164" t="s">
        <v>904</v>
      </c>
      <c r="C210" s="165" t="s">
        <v>542</v>
      </c>
      <c r="D210" s="326"/>
      <c r="E210" s="326"/>
      <c r="L210" s="165" t="s">
        <v>908</v>
      </c>
      <c r="M210" s="164" t="s">
        <v>904</v>
      </c>
      <c r="N210" s="165" t="s">
        <v>542</v>
      </c>
      <c r="O210" s="715"/>
      <c r="P210" s="715"/>
    </row>
    <row r="211" spans="1:16" s="3" customFormat="1" ht="20.100000000000001" customHeight="1">
      <c r="A211" s="165" t="s">
        <v>909</v>
      </c>
      <c r="B211" s="166" t="s">
        <v>910</v>
      </c>
      <c r="C211" s="165"/>
      <c r="D211" s="327" t="s">
        <v>480</v>
      </c>
      <c r="E211" s="327" t="s">
        <v>480</v>
      </c>
      <c r="L211" s="165" t="s">
        <v>909</v>
      </c>
      <c r="M211" s="166" t="s">
        <v>910</v>
      </c>
      <c r="N211" s="165"/>
      <c r="O211" s="1276"/>
      <c r="P211" s="327" t="s">
        <v>480</v>
      </c>
    </row>
    <row r="212" spans="1:16" s="3" customFormat="1" ht="20.100000000000001" customHeight="1">
      <c r="A212" s="165" t="s">
        <v>911</v>
      </c>
      <c r="B212" s="164" t="s">
        <v>902</v>
      </c>
      <c r="C212" s="165" t="s">
        <v>246</v>
      </c>
      <c r="D212" s="716"/>
      <c r="E212" s="716"/>
      <c r="L212" s="165" t="s">
        <v>911</v>
      </c>
      <c r="M212" s="164" t="s">
        <v>902</v>
      </c>
      <c r="N212" s="165" t="s">
        <v>246</v>
      </c>
      <c r="O212" s="717"/>
      <c r="P212" s="717"/>
    </row>
    <row r="213" spans="1:16" s="3" customFormat="1" ht="20.100000000000001" customHeight="1">
      <c r="A213" s="165" t="s">
        <v>912</v>
      </c>
      <c r="B213" s="164" t="s">
        <v>904</v>
      </c>
      <c r="C213" s="165" t="s">
        <v>542</v>
      </c>
      <c r="D213" s="326"/>
      <c r="E213" s="326"/>
      <c r="L213" s="165" t="s">
        <v>912</v>
      </c>
      <c r="M213" s="164" t="s">
        <v>904</v>
      </c>
      <c r="N213" s="165" t="s">
        <v>542</v>
      </c>
      <c r="O213" s="715"/>
      <c r="P213" s="715"/>
    </row>
    <row r="214" spans="1:16" s="3" customFormat="1" ht="20.100000000000001" customHeight="1">
      <c r="A214" s="165" t="s">
        <v>913</v>
      </c>
      <c r="B214" s="166" t="s">
        <v>914</v>
      </c>
      <c r="C214" s="165"/>
      <c r="D214" s="327" t="s">
        <v>480</v>
      </c>
      <c r="E214" s="327" t="s">
        <v>480</v>
      </c>
      <c r="L214" s="165" t="s">
        <v>913</v>
      </c>
      <c r="M214" s="166" t="s">
        <v>914</v>
      </c>
      <c r="N214" s="165"/>
      <c r="O214" s="1276"/>
      <c r="P214" s="327" t="s">
        <v>480</v>
      </c>
    </row>
    <row r="215" spans="1:16" s="3" customFormat="1" ht="20.100000000000001" customHeight="1">
      <c r="A215" s="165" t="s">
        <v>915</v>
      </c>
      <c r="B215" s="164" t="s">
        <v>902</v>
      </c>
      <c r="C215" s="165" t="s">
        <v>246</v>
      </c>
      <c r="D215" s="716"/>
      <c r="E215" s="716"/>
      <c r="L215" s="165" t="s">
        <v>915</v>
      </c>
      <c r="M215" s="164" t="s">
        <v>902</v>
      </c>
      <c r="N215" s="165" t="s">
        <v>246</v>
      </c>
      <c r="O215" s="717"/>
      <c r="P215" s="717"/>
    </row>
    <row r="216" spans="1:16" s="3" customFormat="1" ht="20.100000000000001" customHeight="1">
      <c r="A216" s="165" t="s">
        <v>916</v>
      </c>
      <c r="B216" s="164" t="s">
        <v>904</v>
      </c>
      <c r="C216" s="165" t="s">
        <v>542</v>
      </c>
      <c r="D216" s="326"/>
      <c r="E216" s="326"/>
      <c r="L216" s="165" t="s">
        <v>916</v>
      </c>
      <c r="M216" s="164" t="s">
        <v>904</v>
      </c>
      <c r="N216" s="165" t="s">
        <v>542</v>
      </c>
      <c r="O216" s="715"/>
      <c r="P216" s="715"/>
    </row>
    <row r="217" spans="1:16" s="3" customFormat="1" ht="20.100000000000001" customHeight="1">
      <c r="A217" s="165" t="s">
        <v>917</v>
      </c>
      <c r="B217" s="166" t="s">
        <v>918</v>
      </c>
      <c r="C217" s="165"/>
      <c r="D217" s="327" t="s">
        <v>480</v>
      </c>
      <c r="E217" s="327" t="s">
        <v>480</v>
      </c>
      <c r="L217" s="165" t="s">
        <v>917</v>
      </c>
      <c r="M217" s="166" t="s">
        <v>918</v>
      </c>
      <c r="N217" s="165"/>
      <c r="O217" s="1276"/>
      <c r="P217" s="327" t="s">
        <v>480</v>
      </c>
    </row>
    <row r="218" spans="1:16" s="3" customFormat="1" ht="20.100000000000001" customHeight="1">
      <c r="A218" s="165" t="s">
        <v>919</v>
      </c>
      <c r="B218" s="164" t="s">
        <v>902</v>
      </c>
      <c r="C218" s="165" t="s">
        <v>246</v>
      </c>
      <c r="D218" s="329"/>
      <c r="E218" s="329"/>
      <c r="L218" s="165" t="s">
        <v>919</v>
      </c>
      <c r="M218" s="164" t="s">
        <v>902</v>
      </c>
      <c r="N218" s="165" t="s">
        <v>246</v>
      </c>
      <c r="O218" s="718"/>
      <c r="P218" s="718"/>
    </row>
    <row r="219" spans="1:16" s="3" customFormat="1" ht="20.100000000000001" customHeight="1">
      <c r="A219" s="165" t="s">
        <v>920</v>
      </c>
      <c r="B219" s="164" t="s">
        <v>904</v>
      </c>
      <c r="C219" s="165" t="s">
        <v>542</v>
      </c>
      <c r="D219" s="327">
        <f>(D204+D207+D210+D213)*D218/100</f>
        <v>0</v>
      </c>
      <c r="E219" s="327">
        <f t="shared" ref="E219" si="78">(E204+E207+E210+E213)*E218/100</f>
        <v>0</v>
      </c>
      <c r="L219" s="165" t="s">
        <v>920</v>
      </c>
      <c r="M219" s="164" t="s">
        <v>904</v>
      </c>
      <c r="N219" s="165" t="s">
        <v>542</v>
      </c>
      <c r="O219" s="1276"/>
      <c r="P219" s="327">
        <f t="shared" ref="P219" si="79">(P204+P207+P210+P213)*P218/100</f>
        <v>0</v>
      </c>
    </row>
    <row r="220" spans="1:16" s="3" customFormat="1" ht="20.100000000000001" customHeight="1">
      <c r="A220" s="165" t="s">
        <v>921</v>
      </c>
      <c r="B220" s="166" t="s">
        <v>922</v>
      </c>
      <c r="C220" s="165" t="s">
        <v>542</v>
      </c>
      <c r="D220" s="327">
        <f>IF(D193=0,0,D221/12/D193)</f>
        <v>0</v>
      </c>
      <c r="E220" s="327">
        <f>IF(E193=0,0,E221/12/E193)</f>
        <v>0</v>
      </c>
      <c r="L220" s="165" t="s">
        <v>921</v>
      </c>
      <c r="M220" s="166" t="s">
        <v>922</v>
      </c>
      <c r="N220" s="165" t="s">
        <v>542</v>
      </c>
      <c r="O220" s="1276"/>
      <c r="P220" s="327">
        <f>IF(P193=0,0,P221/12/P193)</f>
        <v>0</v>
      </c>
    </row>
    <row r="221" spans="1:16" s="3" customFormat="1" ht="20.100000000000001" customHeight="1">
      <c r="A221" s="1341" t="s">
        <v>230</v>
      </c>
      <c r="B221" s="162" t="s">
        <v>923</v>
      </c>
      <c r="C221" s="1341" t="s">
        <v>924</v>
      </c>
      <c r="D221" s="328">
        <f>(D219+D216+D213+D210+D207+D204)*12*D193</f>
        <v>0</v>
      </c>
      <c r="E221" s="328">
        <f>(E219+E216+E213+E210+E207+E204)*12*E193</f>
        <v>0</v>
      </c>
      <c r="L221" s="1341" t="s">
        <v>230</v>
      </c>
      <c r="M221" s="162" t="s">
        <v>923</v>
      </c>
      <c r="N221" s="1341" t="s">
        <v>924</v>
      </c>
      <c r="O221" s="715"/>
      <c r="P221" s="328">
        <f>(P219+P216+P213+P210+P207+P204)*12*P193</f>
        <v>0</v>
      </c>
    </row>
    <row r="222" spans="1:16" s="10" customFormat="1" ht="20.100000000000001" customHeight="1">
      <c r="A222" s="1341"/>
      <c r="B222" s="162" t="s">
        <v>510</v>
      </c>
      <c r="C222" s="1341"/>
      <c r="D222" s="328"/>
      <c r="E222" s="328"/>
      <c r="L222" s="1341"/>
      <c r="M222" s="162" t="s">
        <v>510</v>
      </c>
      <c r="N222" s="1341"/>
      <c r="O222" s="715"/>
      <c r="P222" s="328"/>
    </row>
    <row r="223" spans="1:16" s="10" customFormat="1" ht="20.100000000000001" customHeight="1">
      <c r="A223" s="1341"/>
      <c r="B223" s="162"/>
      <c r="C223" s="1341"/>
      <c r="D223" s="328"/>
      <c r="E223" s="328"/>
      <c r="L223" s="1341"/>
      <c r="M223" s="162"/>
      <c r="N223" s="1341"/>
      <c r="O223" s="715"/>
      <c r="P223" s="328"/>
    </row>
    <row r="224" spans="1:16" s="10" customFormat="1" ht="20.100000000000001" customHeight="1">
      <c r="A224" s="1341"/>
      <c r="B224" s="162" t="s">
        <v>925</v>
      </c>
      <c r="C224" s="1341" t="s">
        <v>420</v>
      </c>
      <c r="D224" s="328">
        <f>D291</f>
        <v>0</v>
      </c>
      <c r="E224" s="328">
        <f>D299</f>
        <v>0</v>
      </c>
      <c r="L224" s="1341"/>
      <c r="M224" s="162" t="s">
        <v>925</v>
      </c>
      <c r="N224" s="1341" t="s">
        <v>420</v>
      </c>
      <c r="O224" s="715"/>
      <c r="P224" s="328" t="e">
        <f>#REF!</f>
        <v>#REF!</v>
      </c>
    </row>
    <row r="225" spans="1:19" s="10" customFormat="1" ht="20.100000000000001" customHeight="1">
      <c r="A225" s="1341"/>
      <c r="B225" s="162" t="s">
        <v>926</v>
      </c>
      <c r="C225" s="1341" t="s">
        <v>929</v>
      </c>
      <c r="D225" s="1277">
        <f t="shared" ref="D225:E225" si="80">D220</f>
        <v>0</v>
      </c>
      <c r="E225" s="1277">
        <f t="shared" si="80"/>
        <v>0</v>
      </c>
      <c r="L225" s="1341"/>
      <c r="M225" s="162" t="s">
        <v>926</v>
      </c>
      <c r="N225" s="1341" t="s">
        <v>929</v>
      </c>
      <c r="O225" s="1276"/>
      <c r="P225" s="1276">
        <f t="shared" ref="P225" si="81">P220</f>
        <v>0</v>
      </c>
    </row>
    <row r="226" spans="1:19" s="10" customFormat="1" ht="20.100000000000001" customHeight="1">
      <c r="A226" s="1341"/>
      <c r="B226" s="162" t="s">
        <v>927</v>
      </c>
      <c r="C226" s="1341" t="s">
        <v>289</v>
      </c>
      <c r="D226" s="327">
        <f>IF(D225=0,0,D224/12/D225)</f>
        <v>0</v>
      </c>
      <c r="E226" s="327">
        <f>IF(E225=0,0,E224/12/E225)</f>
        <v>0</v>
      </c>
      <c r="L226" s="1341"/>
      <c r="M226" s="162" t="s">
        <v>927</v>
      </c>
      <c r="N226" s="1341" t="s">
        <v>289</v>
      </c>
      <c r="O226" s="1276"/>
      <c r="P226" s="327">
        <f>IF(P225=0,0,P224/12/P225)</f>
        <v>0</v>
      </c>
    </row>
    <row r="227" spans="1:19" s="10" customFormat="1" ht="20.100000000000001" customHeight="1">
      <c r="A227" s="1341"/>
      <c r="B227" s="162"/>
      <c r="C227" s="1341"/>
      <c r="D227" s="328"/>
      <c r="E227" s="328"/>
      <c r="L227" s="1341"/>
      <c r="M227" s="162"/>
      <c r="N227" s="1341"/>
      <c r="O227" s="715"/>
      <c r="P227" s="328"/>
    </row>
    <row r="228" spans="1:19" s="10" customFormat="1" ht="20.100000000000001" customHeight="1">
      <c r="A228" s="1341"/>
      <c r="B228" s="162" t="s">
        <v>928</v>
      </c>
      <c r="C228" s="1341" t="s">
        <v>420</v>
      </c>
      <c r="D228" s="328">
        <f>D333</f>
        <v>0</v>
      </c>
      <c r="E228" s="328">
        <f>D341</f>
        <v>0</v>
      </c>
      <c r="L228" s="1341"/>
      <c r="M228" s="162" t="s">
        <v>928</v>
      </c>
      <c r="N228" s="1341" t="s">
        <v>420</v>
      </c>
      <c r="O228" s="715"/>
      <c r="P228" s="328">
        <f>O333</f>
        <v>0</v>
      </c>
    </row>
    <row r="229" spans="1:19" s="10" customFormat="1" ht="20.100000000000001" customHeight="1">
      <c r="A229" s="1341"/>
      <c r="B229" s="162" t="s">
        <v>926</v>
      </c>
      <c r="C229" s="1341" t="s">
        <v>929</v>
      </c>
      <c r="D229" s="1277">
        <f>D220</f>
        <v>0</v>
      </c>
      <c r="E229" s="1277">
        <f>E220</f>
        <v>0</v>
      </c>
      <c r="L229" s="1341"/>
      <c r="M229" s="162" t="s">
        <v>926</v>
      </c>
      <c r="N229" s="1341" t="s">
        <v>929</v>
      </c>
      <c r="O229" s="1276"/>
      <c r="P229" s="1276">
        <f>P220</f>
        <v>0</v>
      </c>
    </row>
    <row r="230" spans="1:19" s="10" customFormat="1" ht="20.100000000000001" customHeight="1">
      <c r="A230" s="1341"/>
      <c r="B230" s="162" t="s">
        <v>927</v>
      </c>
      <c r="C230" s="1341" t="s">
        <v>289</v>
      </c>
      <c r="D230" s="327">
        <f>IF(D229=0,0,D228/12/D229)</f>
        <v>0</v>
      </c>
      <c r="E230" s="327">
        <f>IF(E229=0,0,E228/12/E229)</f>
        <v>0</v>
      </c>
      <c r="L230" s="1341"/>
      <c r="M230" s="162" t="s">
        <v>927</v>
      </c>
      <c r="N230" s="1341" t="s">
        <v>289</v>
      </c>
      <c r="O230" s="1276"/>
      <c r="P230" s="327">
        <f>IF(P229=0,0,P228/12/P229)</f>
        <v>0</v>
      </c>
    </row>
    <row r="231" spans="1:19" s="3" customFormat="1" ht="20.100000000000001" customHeight="1">
      <c r="A231" s="1278"/>
      <c r="B231" s="1279"/>
      <c r="C231" s="1278"/>
      <c r="D231" s="1280"/>
      <c r="E231" s="1280"/>
      <c r="F231" s="1280"/>
      <c r="L231" s="1278"/>
      <c r="M231" s="1279"/>
      <c r="N231" s="1278"/>
      <c r="O231" s="1280"/>
      <c r="P231" s="1280"/>
      <c r="Q231" s="1280"/>
    </row>
    <row r="232" spans="1:19" s="3" customFormat="1" ht="20.100000000000001" customHeight="1">
      <c r="A232" s="1278"/>
      <c r="B232" s="1279"/>
      <c r="C232" s="1278"/>
      <c r="D232" s="1280"/>
      <c r="E232" s="1280"/>
      <c r="F232" s="1280"/>
      <c r="L232" s="1278"/>
      <c r="M232" s="1279"/>
      <c r="N232" s="1278"/>
      <c r="O232" s="1280"/>
      <c r="P232" s="1280"/>
      <c r="Q232" s="1280"/>
    </row>
    <row r="233" spans="1:19" s="3" customFormat="1" ht="30" customHeight="1">
      <c r="A233" s="1584" t="s">
        <v>931</v>
      </c>
      <c r="B233" s="1584"/>
      <c r="C233" s="1584"/>
      <c r="D233" s="1584"/>
      <c r="E233" s="1584"/>
      <c r="F233" s="1281"/>
      <c r="G233" s="1281"/>
      <c r="H233" s="1281"/>
      <c r="I233" s="1281"/>
      <c r="J233" s="1281"/>
      <c r="K233" s="1281"/>
      <c r="L233" s="1584" t="s">
        <v>931</v>
      </c>
      <c r="M233" s="1584"/>
      <c r="N233" s="1584"/>
      <c r="O233" s="1584"/>
      <c r="P233" s="1584"/>
      <c r="Q233" s="1281"/>
      <c r="R233" s="1281"/>
      <c r="S233" s="1281"/>
    </row>
    <row r="234" spans="1:19" s="3" customFormat="1" ht="20.100000000000001" customHeight="1">
      <c r="A234" s="719"/>
      <c r="B234" s="720"/>
      <c r="C234" s="719"/>
      <c r="D234" s="721"/>
      <c r="E234" s="721"/>
      <c r="F234" s="1280"/>
      <c r="L234" s="1278"/>
      <c r="M234" s="1279"/>
      <c r="N234" s="1278"/>
      <c r="O234" s="1280"/>
      <c r="P234" s="1280"/>
      <c r="Q234" s="1280"/>
    </row>
    <row r="235" spans="1:19">
      <c r="A235" s="16"/>
      <c r="B235" s="125"/>
      <c r="C235" s="125"/>
      <c r="D235" s="16"/>
      <c r="E235" s="16"/>
      <c r="M235" s="130"/>
      <c r="N235" s="130"/>
    </row>
    <row r="236" spans="1:19" ht="24" customHeight="1">
      <c r="A236" s="1597"/>
      <c r="B236" s="1597" t="s">
        <v>467</v>
      </c>
      <c r="C236" s="1597" t="s">
        <v>413</v>
      </c>
      <c r="D236" s="1344">
        <f>C8</f>
        <v>2016</v>
      </c>
      <c r="E236" s="671">
        <f>D8</f>
        <v>2018</v>
      </c>
      <c r="L236" s="1597"/>
      <c r="M236" s="1597" t="s">
        <v>467</v>
      </c>
      <c r="N236" s="1597" t="s">
        <v>413</v>
      </c>
      <c r="O236" s="1597" t="str">
        <f>N8</f>
        <v>2017 утв.</v>
      </c>
      <c r="P236" s="1597" t="str">
        <f>O8</f>
        <v>предложение эксперта на 2018 г</v>
      </c>
    </row>
    <row r="237" spans="1:19" ht="15.75" customHeight="1">
      <c r="A237" s="1598"/>
      <c r="B237" s="1598"/>
      <c r="C237" s="1598"/>
      <c r="D237" s="1344" t="str">
        <f>C9</f>
        <v>факт по данным организации</v>
      </c>
      <c r="E237" s="756" t="str">
        <f>D9</f>
        <v xml:space="preserve">план организации </v>
      </c>
      <c r="L237" s="1598"/>
      <c r="M237" s="1598"/>
      <c r="N237" s="1598"/>
      <c r="O237" s="1618"/>
      <c r="P237" s="1618"/>
    </row>
    <row r="238" spans="1:19" ht="31.5">
      <c r="A238" s="1339" t="s">
        <v>387</v>
      </c>
      <c r="B238" s="722" t="s">
        <v>1755</v>
      </c>
      <c r="C238" s="723" t="s">
        <v>420</v>
      </c>
      <c r="D238" s="724">
        <f>D242+D245+D248+D251</f>
        <v>0</v>
      </c>
      <c r="E238" s="724">
        <f t="shared" ref="E238" si="82">E242+E245+E248+E251</f>
        <v>0</v>
      </c>
      <c r="L238" s="1339" t="s">
        <v>387</v>
      </c>
      <c r="M238" s="722" t="s">
        <v>1755</v>
      </c>
      <c r="N238" s="723" t="s">
        <v>420</v>
      </c>
      <c r="O238" s="1282"/>
      <c r="P238" s="724">
        <f t="shared" ref="P238" si="83">P242+P245+P248+P251</f>
        <v>0</v>
      </c>
    </row>
    <row r="239" spans="1:19">
      <c r="A239" s="1339"/>
      <c r="B239" s="725" t="s">
        <v>1756</v>
      </c>
      <c r="C239" s="723" t="s">
        <v>447</v>
      </c>
      <c r="D239" s="726">
        <f>IF(D240=0,0,D238/D240)</f>
        <v>0</v>
      </c>
      <c r="E239" s="726">
        <f t="shared" ref="E239" si="84">IF(E240=0,0,E238/E240)</f>
        <v>0</v>
      </c>
      <c r="L239" s="1339"/>
      <c r="M239" s="725" t="s">
        <v>1756</v>
      </c>
      <c r="N239" s="723" t="s">
        <v>447</v>
      </c>
      <c r="O239" s="1193"/>
      <c r="P239" s="726">
        <f t="shared" ref="P239" si="85">IF(P240=0,0,P238/P240)</f>
        <v>0</v>
      </c>
    </row>
    <row r="240" spans="1:19">
      <c r="A240" s="42"/>
      <c r="B240" s="727" t="s">
        <v>1757</v>
      </c>
      <c r="C240" s="723" t="s">
        <v>426</v>
      </c>
      <c r="D240" s="726">
        <f>D244+D247+D250+D253</f>
        <v>0</v>
      </c>
      <c r="E240" s="726">
        <f t="shared" ref="E240" si="86">E244+E247+E250+E253</f>
        <v>0</v>
      </c>
      <c r="L240" s="42"/>
      <c r="M240" s="727" t="s">
        <v>1757</v>
      </c>
      <c r="N240" s="723" t="s">
        <v>426</v>
      </c>
      <c r="O240" s="1193"/>
      <c r="P240" s="726">
        <f t="shared" ref="P240" si="87">P244+P247+P250+P253</f>
        <v>0</v>
      </c>
    </row>
    <row r="241" spans="1:16">
      <c r="A241" s="42"/>
      <c r="B241" s="728" t="s">
        <v>510</v>
      </c>
      <c r="C241" s="729"/>
      <c r="D241" s="730"/>
      <c r="E241" s="730"/>
      <c r="L241" s="42"/>
      <c r="M241" s="728" t="s">
        <v>510</v>
      </c>
      <c r="N241" s="729"/>
      <c r="O241" s="1283"/>
      <c r="P241" s="730"/>
    </row>
    <row r="242" spans="1:16">
      <c r="A242" s="42" t="s">
        <v>224</v>
      </c>
      <c r="B242" s="731" t="s">
        <v>1758</v>
      </c>
      <c r="C242" s="723" t="s">
        <v>542</v>
      </c>
      <c r="D242" s="726">
        <f>D243*D244</f>
        <v>0</v>
      </c>
      <c r="E242" s="726">
        <f t="shared" ref="E242" si="88">E243*E244</f>
        <v>0</v>
      </c>
      <c r="L242" s="42" t="s">
        <v>224</v>
      </c>
      <c r="M242" s="731" t="s">
        <v>1758</v>
      </c>
      <c r="N242" s="723" t="s">
        <v>542</v>
      </c>
      <c r="O242" s="1193"/>
      <c r="P242" s="726">
        <f t="shared" ref="P242" si="89">P243*P244</f>
        <v>0</v>
      </c>
    </row>
    <row r="243" spans="1:16">
      <c r="A243" s="42"/>
      <c r="B243" s="725" t="s">
        <v>1759</v>
      </c>
      <c r="C243" s="732" t="s">
        <v>447</v>
      </c>
      <c r="D243" s="699"/>
      <c r="E243" s="699"/>
      <c r="L243" s="42"/>
      <c r="M243" s="725" t="s">
        <v>1759</v>
      </c>
      <c r="N243" s="732" t="s">
        <v>447</v>
      </c>
      <c r="O243" s="698"/>
      <c r="P243" s="698"/>
    </row>
    <row r="244" spans="1:16">
      <c r="A244" s="42"/>
      <c r="B244" s="727" t="s">
        <v>1757</v>
      </c>
      <c r="C244" s="723" t="s">
        <v>426</v>
      </c>
      <c r="D244" s="699"/>
      <c r="E244" s="699"/>
      <c r="L244" s="42"/>
      <c r="M244" s="727" t="s">
        <v>1757</v>
      </c>
      <c r="N244" s="723" t="s">
        <v>426</v>
      </c>
      <c r="O244" s="698"/>
      <c r="P244" s="698"/>
    </row>
    <row r="245" spans="1:16">
      <c r="A245" s="42" t="s">
        <v>226</v>
      </c>
      <c r="B245" s="731" t="s">
        <v>1760</v>
      </c>
      <c r="C245" s="723" t="s">
        <v>542</v>
      </c>
      <c r="D245" s="726">
        <f t="shared" ref="D245:E245" si="90">D246*D247</f>
        <v>0</v>
      </c>
      <c r="E245" s="726">
        <f t="shared" si="90"/>
        <v>0</v>
      </c>
      <c r="L245" s="42" t="s">
        <v>226</v>
      </c>
      <c r="M245" s="731" t="s">
        <v>1760</v>
      </c>
      <c r="N245" s="723" t="s">
        <v>542</v>
      </c>
      <c r="O245" s="1193"/>
      <c r="P245" s="726">
        <f t="shared" ref="P245" si="91">P246*P247</f>
        <v>0</v>
      </c>
    </row>
    <row r="246" spans="1:16">
      <c r="A246" s="42"/>
      <c r="B246" s="725" t="s">
        <v>1759</v>
      </c>
      <c r="C246" s="732" t="s">
        <v>447</v>
      </c>
      <c r="D246" s="699"/>
      <c r="E246" s="699"/>
      <c r="L246" s="42"/>
      <c r="M246" s="725" t="s">
        <v>1759</v>
      </c>
      <c r="N246" s="732" t="s">
        <v>447</v>
      </c>
      <c r="O246" s="698"/>
      <c r="P246" s="698"/>
    </row>
    <row r="247" spans="1:16">
      <c r="A247" s="42"/>
      <c r="B247" s="727" t="s">
        <v>1757</v>
      </c>
      <c r="C247" s="723" t="s">
        <v>426</v>
      </c>
      <c r="D247" s="699"/>
      <c r="E247" s="699"/>
      <c r="L247" s="42"/>
      <c r="M247" s="727" t="s">
        <v>1757</v>
      </c>
      <c r="N247" s="723" t="s">
        <v>426</v>
      </c>
      <c r="O247" s="698"/>
      <c r="P247" s="698"/>
    </row>
    <row r="248" spans="1:16">
      <c r="A248" s="42" t="s">
        <v>634</v>
      </c>
      <c r="B248" s="731" t="s">
        <v>1761</v>
      </c>
      <c r="C248" s="723" t="s">
        <v>542</v>
      </c>
      <c r="D248" s="726">
        <f t="shared" ref="D248:E248" si="92">D249*D250</f>
        <v>0</v>
      </c>
      <c r="E248" s="726">
        <f t="shared" si="92"/>
        <v>0</v>
      </c>
      <c r="L248" s="42" t="s">
        <v>634</v>
      </c>
      <c r="M248" s="731" t="s">
        <v>1761</v>
      </c>
      <c r="N248" s="723" t="s">
        <v>542</v>
      </c>
      <c r="O248" s="1193"/>
      <c r="P248" s="726">
        <f t="shared" ref="P248" si="93">P249*P250</f>
        <v>0</v>
      </c>
    </row>
    <row r="249" spans="1:16">
      <c r="A249" s="42"/>
      <c r="B249" s="725" t="s">
        <v>1759</v>
      </c>
      <c r="C249" s="732" t="s">
        <v>447</v>
      </c>
      <c r="D249" s="699"/>
      <c r="E249" s="699"/>
      <c r="L249" s="42"/>
      <c r="M249" s="725" t="s">
        <v>1759</v>
      </c>
      <c r="N249" s="732" t="s">
        <v>447</v>
      </c>
      <c r="O249" s="698"/>
      <c r="P249" s="698"/>
    </row>
    <row r="250" spans="1:16">
      <c r="A250" s="42" t="s">
        <v>636</v>
      </c>
      <c r="B250" s="727" t="s">
        <v>1757</v>
      </c>
      <c r="C250" s="723" t="s">
        <v>426</v>
      </c>
      <c r="D250" s="699"/>
      <c r="E250" s="699"/>
      <c r="L250" s="42" t="s">
        <v>636</v>
      </c>
      <c r="M250" s="727" t="s">
        <v>1757</v>
      </c>
      <c r="N250" s="723" t="s">
        <v>426</v>
      </c>
      <c r="O250" s="698"/>
      <c r="P250" s="698"/>
    </row>
    <row r="251" spans="1:16">
      <c r="A251" s="42"/>
      <c r="B251" s="731" t="s">
        <v>1762</v>
      </c>
      <c r="C251" s="723" t="s">
        <v>542</v>
      </c>
      <c r="D251" s="726">
        <f t="shared" ref="D251:E251" si="94">D252*D253</f>
        <v>0</v>
      </c>
      <c r="E251" s="726">
        <f t="shared" si="94"/>
        <v>0</v>
      </c>
      <c r="L251" s="42"/>
      <c r="M251" s="731" t="s">
        <v>1762</v>
      </c>
      <c r="N251" s="723" t="s">
        <v>542</v>
      </c>
      <c r="O251" s="1193"/>
      <c r="P251" s="726">
        <f t="shared" ref="P251" si="95">P252*P253</f>
        <v>0</v>
      </c>
    </row>
    <row r="252" spans="1:16">
      <c r="A252" s="42"/>
      <c r="B252" s="725" t="s">
        <v>1759</v>
      </c>
      <c r="C252" s="732" t="s">
        <v>447</v>
      </c>
      <c r="D252" s="699"/>
      <c r="E252" s="699"/>
      <c r="L252" s="42"/>
      <c r="M252" s="725" t="s">
        <v>1759</v>
      </c>
      <c r="N252" s="732" t="s">
        <v>447</v>
      </c>
      <c r="O252" s="698"/>
      <c r="P252" s="698"/>
    </row>
    <row r="253" spans="1:16">
      <c r="A253" s="42"/>
      <c r="B253" s="727" t="s">
        <v>1757</v>
      </c>
      <c r="C253" s="723" t="s">
        <v>426</v>
      </c>
      <c r="D253" s="699"/>
      <c r="E253" s="699"/>
      <c r="L253" s="42"/>
      <c r="M253" s="727" t="s">
        <v>1757</v>
      </c>
      <c r="N253" s="723" t="s">
        <v>426</v>
      </c>
      <c r="O253" s="698"/>
      <c r="P253" s="698"/>
    </row>
    <row r="254" spans="1:16" ht="31.5">
      <c r="A254" s="1339">
        <v>2</v>
      </c>
      <c r="B254" s="722" t="s">
        <v>1763</v>
      </c>
      <c r="C254" s="723" t="s">
        <v>420</v>
      </c>
      <c r="D254" s="724">
        <f>D255+D268</f>
        <v>0</v>
      </c>
      <c r="E254" s="724">
        <f t="shared" ref="E254" si="96">E255+E268</f>
        <v>0</v>
      </c>
      <c r="L254" s="1339">
        <v>2</v>
      </c>
      <c r="M254" s="722" t="s">
        <v>1763</v>
      </c>
      <c r="N254" s="723" t="s">
        <v>420</v>
      </c>
      <c r="O254" s="1282"/>
      <c r="P254" s="724">
        <f t="shared" ref="P254" si="97">P255+P268</f>
        <v>0</v>
      </c>
    </row>
    <row r="255" spans="1:16">
      <c r="A255" s="1339" t="s">
        <v>428</v>
      </c>
      <c r="B255" s="722" t="s">
        <v>1764</v>
      </c>
      <c r="C255" s="723"/>
      <c r="D255" s="724">
        <f>D256+D259+D262+D265</f>
        <v>0</v>
      </c>
      <c r="E255" s="724">
        <f t="shared" ref="E255" si="98">E256+E259+E262+E265</f>
        <v>0</v>
      </c>
      <c r="L255" s="1339" t="s">
        <v>428</v>
      </c>
      <c r="M255" s="722" t="s">
        <v>1764</v>
      </c>
      <c r="N255" s="723"/>
      <c r="O255" s="1282"/>
      <c r="P255" s="724">
        <f t="shared" ref="P255" si="99">P256+P259+P262+P265</f>
        <v>0</v>
      </c>
    </row>
    <row r="256" spans="1:16">
      <c r="A256" s="42" t="s">
        <v>710</v>
      </c>
      <c r="B256" s="731" t="s">
        <v>1758</v>
      </c>
      <c r="C256" s="723" t="s">
        <v>542</v>
      </c>
      <c r="D256" s="726">
        <f t="shared" ref="D256:E256" si="100">D257*D258*12</f>
        <v>0</v>
      </c>
      <c r="E256" s="726">
        <f t="shared" si="100"/>
        <v>0</v>
      </c>
      <c r="L256" s="42" t="s">
        <v>710</v>
      </c>
      <c r="M256" s="731" t="s">
        <v>1758</v>
      </c>
      <c r="N256" s="723" t="s">
        <v>542</v>
      </c>
      <c r="O256" s="1193"/>
      <c r="P256" s="726">
        <f t="shared" ref="P256" si="101">P257*P258*12</f>
        <v>0</v>
      </c>
    </row>
    <row r="257" spans="1:16">
      <c r="A257" s="42"/>
      <c r="B257" s="725" t="s">
        <v>1765</v>
      </c>
      <c r="C257" s="732" t="s">
        <v>439</v>
      </c>
      <c r="D257" s="699"/>
      <c r="E257" s="699"/>
      <c r="L257" s="42"/>
      <c r="M257" s="725" t="s">
        <v>1765</v>
      </c>
      <c r="N257" s="732" t="s">
        <v>439</v>
      </c>
      <c r="O257" s="698"/>
      <c r="P257" s="698"/>
    </row>
    <row r="258" spans="1:16">
      <c r="A258" s="42"/>
      <c r="B258" s="727" t="s">
        <v>1766</v>
      </c>
      <c r="C258" s="733" t="s">
        <v>441</v>
      </c>
      <c r="D258" s="699"/>
      <c r="E258" s="699"/>
      <c r="L258" s="42"/>
      <c r="M258" s="727" t="s">
        <v>1766</v>
      </c>
      <c r="N258" s="733" t="s">
        <v>441</v>
      </c>
      <c r="O258" s="698"/>
      <c r="P258" s="698"/>
    </row>
    <row r="259" spans="1:16">
      <c r="A259" s="42" t="s">
        <v>710</v>
      </c>
      <c r="B259" s="731" t="s">
        <v>1760</v>
      </c>
      <c r="C259" s="723" t="s">
        <v>542</v>
      </c>
      <c r="D259" s="726">
        <f t="shared" ref="D259:E259" si="102">D260*D261*12</f>
        <v>0</v>
      </c>
      <c r="E259" s="726">
        <f t="shared" si="102"/>
        <v>0</v>
      </c>
      <c r="L259" s="42" t="s">
        <v>710</v>
      </c>
      <c r="M259" s="731" t="s">
        <v>1760</v>
      </c>
      <c r="N259" s="723" t="s">
        <v>542</v>
      </c>
      <c r="O259" s="1193"/>
      <c r="P259" s="726">
        <f t="shared" ref="P259" si="103">P260*P261*12</f>
        <v>0</v>
      </c>
    </row>
    <row r="260" spans="1:16">
      <c r="A260" s="42"/>
      <c r="B260" s="725" t="s">
        <v>1765</v>
      </c>
      <c r="C260" s="732" t="s">
        <v>439</v>
      </c>
      <c r="D260" s="699"/>
      <c r="E260" s="699"/>
      <c r="L260" s="42"/>
      <c r="M260" s="725" t="s">
        <v>1765</v>
      </c>
      <c r="N260" s="732" t="s">
        <v>439</v>
      </c>
      <c r="O260" s="698"/>
      <c r="P260" s="698"/>
    </row>
    <row r="261" spans="1:16">
      <c r="A261" s="42"/>
      <c r="B261" s="727" t="s">
        <v>1766</v>
      </c>
      <c r="C261" s="733" t="s">
        <v>441</v>
      </c>
      <c r="D261" s="699"/>
      <c r="E261" s="699"/>
      <c r="L261" s="42"/>
      <c r="M261" s="727" t="s">
        <v>1766</v>
      </c>
      <c r="N261" s="733" t="s">
        <v>441</v>
      </c>
      <c r="O261" s="698"/>
      <c r="P261" s="698"/>
    </row>
    <row r="262" spans="1:16">
      <c r="A262" s="42" t="s">
        <v>1767</v>
      </c>
      <c r="B262" s="731" t="s">
        <v>1761</v>
      </c>
      <c r="C262" s="723" t="s">
        <v>542</v>
      </c>
      <c r="D262" s="726">
        <f t="shared" ref="D262:E262" si="104">D263*D264*12</f>
        <v>0</v>
      </c>
      <c r="E262" s="726">
        <f t="shared" si="104"/>
        <v>0</v>
      </c>
      <c r="L262" s="42" t="s">
        <v>1767</v>
      </c>
      <c r="M262" s="731" t="s">
        <v>1761</v>
      </c>
      <c r="N262" s="723" t="s">
        <v>542</v>
      </c>
      <c r="O262" s="1193"/>
      <c r="P262" s="726">
        <f t="shared" ref="P262" si="105">P263*P264*12</f>
        <v>0</v>
      </c>
    </row>
    <row r="263" spans="1:16">
      <c r="A263" s="42"/>
      <c r="B263" s="725" t="s">
        <v>1765</v>
      </c>
      <c r="C263" s="732" t="s">
        <v>439</v>
      </c>
      <c r="D263" s="699"/>
      <c r="E263" s="699"/>
      <c r="L263" s="42"/>
      <c r="M263" s="725" t="s">
        <v>1765</v>
      </c>
      <c r="N263" s="732" t="s">
        <v>439</v>
      </c>
      <c r="O263" s="698"/>
      <c r="P263" s="698"/>
    </row>
    <row r="264" spans="1:16">
      <c r="A264" s="42"/>
      <c r="B264" s="727" t="s">
        <v>1766</v>
      </c>
      <c r="C264" s="733" t="s">
        <v>441</v>
      </c>
      <c r="D264" s="699"/>
      <c r="E264" s="699"/>
      <c r="L264" s="42"/>
      <c r="M264" s="727" t="s">
        <v>1766</v>
      </c>
      <c r="N264" s="733" t="s">
        <v>441</v>
      </c>
      <c r="O264" s="698"/>
      <c r="P264" s="698"/>
    </row>
    <row r="265" spans="1:16">
      <c r="A265" s="42" t="s">
        <v>1768</v>
      </c>
      <c r="B265" s="731" t="s">
        <v>1762</v>
      </c>
      <c r="C265" s="723" t="s">
        <v>542</v>
      </c>
      <c r="D265" s="726">
        <f t="shared" ref="D265:E265" si="106">D266*D267*12</f>
        <v>0</v>
      </c>
      <c r="E265" s="726">
        <f t="shared" si="106"/>
        <v>0</v>
      </c>
      <c r="L265" s="42" t="s">
        <v>1768</v>
      </c>
      <c r="M265" s="731" t="s">
        <v>1762</v>
      </c>
      <c r="N265" s="723" t="s">
        <v>542</v>
      </c>
      <c r="O265" s="1193"/>
      <c r="P265" s="726">
        <f t="shared" ref="P265" si="107">P266*P267*12</f>
        <v>0</v>
      </c>
    </row>
    <row r="266" spans="1:16">
      <c r="A266" s="42"/>
      <c r="B266" s="725" t="s">
        <v>1765</v>
      </c>
      <c r="C266" s="732" t="s">
        <v>439</v>
      </c>
      <c r="D266" s="699"/>
      <c r="E266" s="699"/>
      <c r="L266" s="42"/>
      <c r="M266" s="725" t="s">
        <v>1765</v>
      </c>
      <c r="N266" s="732" t="s">
        <v>439</v>
      </c>
      <c r="O266" s="698"/>
      <c r="P266" s="698"/>
    </row>
    <row r="267" spans="1:16">
      <c r="A267" s="42"/>
      <c r="B267" s="727" t="s">
        <v>1766</v>
      </c>
      <c r="C267" s="733" t="s">
        <v>441</v>
      </c>
      <c r="D267" s="699"/>
      <c r="E267" s="699"/>
      <c r="L267" s="42"/>
      <c r="M267" s="727" t="s">
        <v>1766</v>
      </c>
      <c r="N267" s="733" t="s">
        <v>441</v>
      </c>
      <c r="O267" s="698"/>
      <c r="P267" s="698"/>
    </row>
    <row r="268" spans="1:16">
      <c r="A268" s="1339" t="s">
        <v>431</v>
      </c>
      <c r="B268" s="722" t="s">
        <v>1769</v>
      </c>
      <c r="C268" s="729"/>
      <c r="D268" s="724">
        <f t="shared" ref="D268:E268" si="108">D269+D272+D275+D278</f>
        <v>0</v>
      </c>
      <c r="E268" s="724">
        <f t="shared" si="108"/>
        <v>0</v>
      </c>
      <c r="L268" s="1339" t="s">
        <v>431</v>
      </c>
      <c r="M268" s="722" t="s">
        <v>1769</v>
      </c>
      <c r="N268" s="729"/>
      <c r="O268" s="1282"/>
      <c r="P268" s="724">
        <f t="shared" ref="P268" si="109">P269+P272+P275+P278</f>
        <v>0</v>
      </c>
    </row>
    <row r="269" spans="1:16">
      <c r="A269" s="40" t="s">
        <v>1100</v>
      </c>
      <c r="B269" s="731" t="s">
        <v>1758</v>
      </c>
      <c r="C269" s="723" t="s">
        <v>542</v>
      </c>
      <c r="D269" s="726">
        <f t="shared" ref="D269:E269" si="110">D270*D271</f>
        <v>0</v>
      </c>
      <c r="E269" s="726">
        <f t="shared" si="110"/>
        <v>0</v>
      </c>
      <c r="L269" s="40" t="s">
        <v>1100</v>
      </c>
      <c r="M269" s="731" t="s">
        <v>1758</v>
      </c>
      <c r="N269" s="723" t="s">
        <v>542</v>
      </c>
      <c r="O269" s="1193"/>
      <c r="P269" s="726">
        <f t="shared" ref="P269" si="111">P270*P271</f>
        <v>0</v>
      </c>
    </row>
    <row r="270" spans="1:16">
      <c r="A270" s="42"/>
      <c r="B270" s="725" t="s">
        <v>1759</v>
      </c>
      <c r="C270" s="732" t="s">
        <v>447</v>
      </c>
      <c r="D270" s="699"/>
      <c r="E270" s="699"/>
      <c r="L270" s="42"/>
      <c r="M270" s="725" t="s">
        <v>1759</v>
      </c>
      <c r="N270" s="732" t="s">
        <v>447</v>
      </c>
      <c r="O270" s="698"/>
      <c r="P270" s="698"/>
    </row>
    <row r="271" spans="1:16">
      <c r="A271" s="42"/>
      <c r="B271" s="727" t="s">
        <v>1757</v>
      </c>
      <c r="C271" s="723" t="s">
        <v>426</v>
      </c>
      <c r="D271" s="699"/>
      <c r="E271" s="699"/>
      <c r="L271" s="42"/>
      <c r="M271" s="727" t="s">
        <v>1757</v>
      </c>
      <c r="N271" s="723" t="s">
        <v>426</v>
      </c>
      <c r="O271" s="698"/>
      <c r="P271" s="698"/>
    </row>
    <row r="272" spans="1:16">
      <c r="A272" s="42" t="s">
        <v>1101</v>
      </c>
      <c r="B272" s="731" t="s">
        <v>1760</v>
      </c>
      <c r="C272" s="723" t="s">
        <v>542</v>
      </c>
      <c r="D272" s="726">
        <f t="shared" ref="D272:E272" si="112">D273*D274</f>
        <v>0</v>
      </c>
      <c r="E272" s="726">
        <f t="shared" si="112"/>
        <v>0</v>
      </c>
      <c r="L272" s="42" t="s">
        <v>1101</v>
      </c>
      <c r="M272" s="731" t="s">
        <v>1760</v>
      </c>
      <c r="N272" s="723" t="s">
        <v>542</v>
      </c>
      <c r="O272" s="1193"/>
      <c r="P272" s="726">
        <f t="shared" ref="P272" si="113">P273*P274</f>
        <v>0</v>
      </c>
    </row>
    <row r="273" spans="1:19">
      <c r="A273" s="42"/>
      <c r="B273" s="725" t="s">
        <v>1759</v>
      </c>
      <c r="C273" s="732" t="s">
        <v>447</v>
      </c>
      <c r="D273" s="699"/>
      <c r="E273" s="699"/>
      <c r="L273" s="42"/>
      <c r="M273" s="725" t="s">
        <v>1759</v>
      </c>
      <c r="N273" s="732" t="s">
        <v>447</v>
      </c>
      <c r="O273" s="698"/>
      <c r="P273" s="698"/>
    </row>
    <row r="274" spans="1:19">
      <c r="A274" s="42"/>
      <c r="B274" s="727" t="s">
        <v>1757</v>
      </c>
      <c r="C274" s="723" t="s">
        <v>426</v>
      </c>
      <c r="D274" s="699"/>
      <c r="E274" s="699"/>
      <c r="L274" s="42"/>
      <c r="M274" s="727" t="s">
        <v>1757</v>
      </c>
      <c r="N274" s="723" t="s">
        <v>426</v>
      </c>
      <c r="O274" s="698"/>
      <c r="P274" s="698"/>
    </row>
    <row r="275" spans="1:19">
      <c r="A275" s="42" t="s">
        <v>1770</v>
      </c>
      <c r="B275" s="731" t="s">
        <v>1761</v>
      </c>
      <c r="C275" s="723" t="s">
        <v>542</v>
      </c>
      <c r="D275" s="726">
        <f t="shared" ref="D275:E275" si="114">D276*D277</f>
        <v>0</v>
      </c>
      <c r="E275" s="726">
        <f t="shared" si="114"/>
        <v>0</v>
      </c>
      <c r="L275" s="42" t="s">
        <v>1770</v>
      </c>
      <c r="M275" s="731" t="s">
        <v>1761</v>
      </c>
      <c r="N275" s="723" t="s">
        <v>542</v>
      </c>
      <c r="O275" s="1193"/>
      <c r="P275" s="726">
        <f t="shared" ref="P275" si="115">P276*P277</f>
        <v>0</v>
      </c>
    </row>
    <row r="276" spans="1:19">
      <c r="A276" s="42"/>
      <c r="B276" s="725" t="s">
        <v>1759</v>
      </c>
      <c r="C276" s="732" t="s">
        <v>447</v>
      </c>
      <c r="D276" s="699"/>
      <c r="E276" s="699"/>
      <c r="L276" s="42"/>
      <c r="M276" s="725" t="s">
        <v>1759</v>
      </c>
      <c r="N276" s="732" t="s">
        <v>447</v>
      </c>
      <c r="O276" s="698"/>
      <c r="P276" s="698"/>
    </row>
    <row r="277" spans="1:19">
      <c r="A277" s="42"/>
      <c r="B277" s="727" t="s">
        <v>1757</v>
      </c>
      <c r="C277" s="723" t="s">
        <v>426</v>
      </c>
      <c r="D277" s="699"/>
      <c r="E277" s="699"/>
      <c r="L277" s="42"/>
      <c r="M277" s="727" t="s">
        <v>1757</v>
      </c>
      <c r="N277" s="723" t="s">
        <v>426</v>
      </c>
      <c r="O277" s="698"/>
      <c r="P277" s="698"/>
    </row>
    <row r="278" spans="1:19">
      <c r="A278" s="42" t="s">
        <v>1771</v>
      </c>
      <c r="B278" s="731" t="s">
        <v>1762</v>
      </c>
      <c r="C278" s="723" t="s">
        <v>542</v>
      </c>
      <c r="D278" s="726">
        <f t="shared" ref="D278:E278" si="116">D279*D280</f>
        <v>0</v>
      </c>
      <c r="E278" s="726">
        <f t="shared" si="116"/>
        <v>0</v>
      </c>
      <c r="L278" s="42" t="s">
        <v>1771</v>
      </c>
      <c r="M278" s="731" t="s">
        <v>1762</v>
      </c>
      <c r="N278" s="723" t="s">
        <v>542</v>
      </c>
      <c r="O278" s="1193"/>
      <c r="P278" s="726">
        <f t="shared" ref="P278" si="117">P279*P280</f>
        <v>0</v>
      </c>
    </row>
    <row r="279" spans="1:19">
      <c r="A279" s="42"/>
      <c r="B279" s="725" t="s">
        <v>1759</v>
      </c>
      <c r="C279" s="732" t="s">
        <v>447</v>
      </c>
      <c r="D279" s="699"/>
      <c r="E279" s="699"/>
      <c r="L279" s="42"/>
      <c r="M279" s="725" t="s">
        <v>1759</v>
      </c>
      <c r="N279" s="732" t="s">
        <v>447</v>
      </c>
      <c r="O279" s="698"/>
      <c r="P279" s="698"/>
    </row>
    <row r="280" spans="1:19">
      <c r="A280" s="42"/>
      <c r="B280" s="727" t="s">
        <v>1757</v>
      </c>
      <c r="C280" s="723" t="s">
        <v>426</v>
      </c>
      <c r="D280" s="699"/>
      <c r="E280" s="699"/>
      <c r="L280" s="42"/>
      <c r="M280" s="727" t="s">
        <v>1757</v>
      </c>
      <c r="N280" s="723" t="s">
        <v>426</v>
      </c>
      <c r="O280" s="698"/>
      <c r="P280" s="698"/>
    </row>
    <row r="281" spans="1:19">
      <c r="B281" s="130"/>
      <c r="C281" s="130"/>
      <c r="D281" s="1284"/>
      <c r="E281" s="1284"/>
      <c r="F281" s="1284"/>
      <c r="G281" s="1284"/>
      <c r="H281" s="1284"/>
      <c r="I281" s="1284"/>
      <c r="J281" s="1284"/>
      <c r="M281" s="130"/>
      <c r="N281" s="130"/>
      <c r="O281" s="1284"/>
      <c r="P281" s="1284"/>
      <c r="Q281" s="1284"/>
      <c r="R281" s="1284"/>
      <c r="S281" s="1284"/>
    </row>
    <row r="282" spans="1:19">
      <c r="A282" s="16"/>
      <c r="B282" s="125" t="s">
        <v>1772</v>
      </c>
      <c r="C282" s="130"/>
      <c r="D282" s="1284"/>
      <c r="E282" s="1284"/>
      <c r="F282" s="1284"/>
      <c r="G282" s="1284"/>
      <c r="H282" s="1284"/>
      <c r="I282" s="1284"/>
      <c r="J282" s="1284"/>
      <c r="L282" s="16"/>
      <c r="M282" s="125" t="s">
        <v>1772</v>
      </c>
      <c r="N282" s="125"/>
      <c r="O282" s="1284"/>
      <c r="P282" s="1284"/>
      <c r="Q282" s="1284"/>
      <c r="R282" s="1284"/>
      <c r="S282" s="1284"/>
    </row>
    <row r="283" spans="1:19">
      <c r="A283" s="1592" t="s">
        <v>451</v>
      </c>
      <c r="B283" s="1593"/>
      <c r="C283" s="734" t="s">
        <v>426</v>
      </c>
      <c r="D283" s="699"/>
      <c r="E283" s="699"/>
      <c r="L283" s="1592" t="s">
        <v>451</v>
      </c>
      <c r="M283" s="1593"/>
      <c r="N283" s="734" t="s">
        <v>426</v>
      </c>
      <c r="O283" s="698"/>
      <c r="P283" s="698"/>
    </row>
    <row r="284" spans="1:19">
      <c r="A284" s="1592" t="s">
        <v>452</v>
      </c>
      <c r="B284" s="1593"/>
      <c r="C284" s="734" t="s">
        <v>426</v>
      </c>
      <c r="D284" s="726">
        <f>D240+D271+D274+D277+D280-D283</f>
        <v>0</v>
      </c>
      <c r="E284" s="726">
        <f>E240+E271+E274+E277+E280-E283</f>
        <v>0</v>
      </c>
      <c r="L284" s="1592" t="s">
        <v>452</v>
      </c>
      <c r="M284" s="1593"/>
      <c r="N284" s="734" t="s">
        <v>426</v>
      </c>
      <c r="O284" s="1193"/>
      <c r="P284" s="726">
        <f>P240+P271+P274+P277+P280-P283</f>
        <v>0</v>
      </c>
    </row>
    <row r="285" spans="1:19">
      <c r="B285" s="130"/>
      <c r="C285" s="130"/>
      <c r="M285" s="130"/>
      <c r="N285" s="130"/>
    </row>
    <row r="286" spans="1:19">
      <c r="B286" s="130"/>
      <c r="C286" s="130"/>
      <c r="M286" s="130"/>
      <c r="N286" s="130"/>
    </row>
    <row r="287" spans="1:19" s="474" customFormat="1" ht="28.5" customHeight="1">
      <c r="A287" s="1285" t="s">
        <v>1773</v>
      </c>
      <c r="D287" s="1359"/>
      <c r="L287" s="735" t="s">
        <v>1773</v>
      </c>
      <c r="M287" s="736"/>
      <c r="N287" s="736"/>
      <c r="O287" s="737"/>
      <c r="P287" s="736"/>
      <c r="Q287" s="736"/>
      <c r="R287" s="736"/>
      <c r="S287" s="736"/>
    </row>
    <row r="288" spans="1:19" s="474" customFormat="1" ht="28.5" customHeight="1">
      <c r="A288" s="1583"/>
      <c r="B288" s="1594" t="s">
        <v>1774</v>
      </c>
      <c r="C288" s="1727" t="s">
        <v>1775</v>
      </c>
      <c r="D288" s="1727"/>
      <c r="E288" s="1727"/>
      <c r="F288" s="1727"/>
      <c r="G288" s="1727"/>
      <c r="H288" s="1727"/>
      <c r="L288" s="1583"/>
      <c r="M288" s="1594" t="s">
        <v>1774</v>
      </c>
      <c r="N288" s="1541" t="s">
        <v>1775</v>
      </c>
      <c r="O288" s="1539"/>
      <c r="P288" s="1539"/>
      <c r="Q288" s="1539"/>
      <c r="R288" s="1539"/>
      <c r="S288" s="1539"/>
    </row>
    <row r="289" spans="1:19" s="474" customFormat="1" ht="28.5" customHeight="1">
      <c r="A289" s="1583"/>
      <c r="B289" s="1595"/>
      <c r="C289" s="1594" t="s">
        <v>188</v>
      </c>
      <c r="D289" s="1541" t="s">
        <v>468</v>
      </c>
      <c r="E289" s="1539"/>
      <c r="F289" s="1539"/>
      <c r="G289" s="1539"/>
      <c r="H289" s="1540"/>
      <c r="L289" s="1583"/>
      <c r="M289" s="1595"/>
      <c r="N289" s="1594" t="s">
        <v>188</v>
      </c>
      <c r="O289" s="1541" t="s">
        <v>468</v>
      </c>
      <c r="P289" s="1539"/>
      <c r="Q289" s="1539"/>
      <c r="R289" s="1539"/>
      <c r="S289" s="1540"/>
    </row>
    <row r="290" spans="1:19" s="474" customFormat="1" ht="102" customHeight="1">
      <c r="A290" s="1583"/>
      <c r="B290" s="1596"/>
      <c r="C290" s="1596"/>
      <c r="D290" s="1343" t="s">
        <v>830</v>
      </c>
      <c r="E290" s="1343" t="s">
        <v>1776</v>
      </c>
      <c r="F290" s="1343" t="s">
        <v>833</v>
      </c>
      <c r="G290" s="1343" t="s">
        <v>837</v>
      </c>
      <c r="H290" s="603" t="s">
        <v>1777</v>
      </c>
      <c r="L290" s="1583"/>
      <c r="M290" s="1596"/>
      <c r="N290" s="1596"/>
      <c r="O290" s="1343" t="s">
        <v>830</v>
      </c>
      <c r="P290" s="1343" t="s">
        <v>1776</v>
      </c>
      <c r="Q290" s="1343" t="s">
        <v>833</v>
      </c>
      <c r="R290" s="1343" t="s">
        <v>837</v>
      </c>
      <c r="S290" s="603" t="s">
        <v>1777</v>
      </c>
    </row>
    <row r="291" spans="1:19" s="741" customFormat="1" ht="28.5" customHeight="1">
      <c r="A291" s="738">
        <v>2016</v>
      </c>
      <c r="B291" s="739" t="str">
        <f>C9</f>
        <v>факт по данным организации</v>
      </c>
      <c r="C291" s="740">
        <f t="shared" ref="C291:H291" si="118">SUM(C292:C298)</f>
        <v>0</v>
      </c>
      <c r="D291" s="740">
        <f t="shared" si="118"/>
        <v>0</v>
      </c>
      <c r="E291" s="740">
        <f t="shared" si="118"/>
        <v>0</v>
      </c>
      <c r="F291" s="740">
        <f t="shared" si="118"/>
        <v>0</v>
      </c>
      <c r="G291" s="740">
        <f t="shared" si="118"/>
        <v>0</v>
      </c>
      <c r="H291" s="740">
        <f t="shared" si="118"/>
        <v>0</v>
      </c>
      <c r="L291" s="745">
        <f>A299</f>
        <v>2018</v>
      </c>
      <c r="M291" s="746" t="s">
        <v>1795</v>
      </c>
      <c r="N291" s="740">
        <f t="shared" ref="N291:S291" si="119">SUM(N292:N298)</f>
        <v>0</v>
      </c>
      <c r="O291" s="740">
        <f t="shared" si="119"/>
        <v>0</v>
      </c>
      <c r="P291" s="740">
        <f t="shared" si="119"/>
        <v>0</v>
      </c>
      <c r="Q291" s="740">
        <f t="shared" si="119"/>
        <v>0</v>
      </c>
      <c r="R291" s="740">
        <f t="shared" si="119"/>
        <v>0</v>
      </c>
      <c r="S291" s="740">
        <f t="shared" si="119"/>
        <v>0</v>
      </c>
    </row>
    <row r="292" spans="1:19" s="474" customFormat="1" ht="28.5" customHeight="1">
      <c r="A292" s="742"/>
      <c r="B292" s="742"/>
      <c r="C292" s="740">
        <f t="shared" ref="C292:C298" si="120">SUM(D292:H292)</f>
        <v>0</v>
      </c>
      <c r="D292" s="743"/>
      <c r="E292" s="743"/>
      <c r="F292" s="743"/>
      <c r="G292" s="743"/>
      <c r="H292" s="743"/>
      <c r="L292" s="1286"/>
      <c r="M292" s="1287"/>
      <c r="N292" s="740">
        <f t="shared" ref="N292:N298" si="121">SUM(O292:S292)</f>
        <v>0</v>
      </c>
      <c r="O292" s="1288"/>
      <c r="P292" s="1288"/>
      <c r="Q292" s="1288"/>
      <c r="R292" s="1288"/>
      <c r="S292" s="1288"/>
    </row>
    <row r="293" spans="1:19" s="474" customFormat="1" ht="28.5" customHeight="1">
      <c r="A293" s="742"/>
      <c r="B293" s="742"/>
      <c r="C293" s="740">
        <f t="shared" si="120"/>
        <v>0</v>
      </c>
      <c r="D293" s="743"/>
      <c r="E293" s="743"/>
      <c r="F293" s="743"/>
      <c r="G293" s="743"/>
      <c r="H293" s="743"/>
      <c r="L293" s="1286"/>
      <c r="M293" s="1287"/>
      <c r="N293" s="740">
        <f t="shared" si="121"/>
        <v>0</v>
      </c>
      <c r="O293" s="1288"/>
      <c r="P293" s="1288"/>
      <c r="Q293" s="1288"/>
      <c r="R293" s="1288"/>
      <c r="S293" s="1288"/>
    </row>
    <row r="294" spans="1:19" s="474" customFormat="1" ht="28.5" customHeight="1">
      <c r="A294" s="742"/>
      <c r="B294" s="742"/>
      <c r="C294" s="740">
        <f t="shared" si="120"/>
        <v>0</v>
      </c>
      <c r="D294" s="743"/>
      <c r="E294" s="743"/>
      <c r="F294" s="743"/>
      <c r="G294" s="743"/>
      <c r="H294" s="743"/>
      <c r="L294" s="1286"/>
      <c r="M294" s="1287"/>
      <c r="N294" s="740">
        <f t="shared" si="121"/>
        <v>0</v>
      </c>
      <c r="O294" s="1288"/>
      <c r="P294" s="1288"/>
      <c r="Q294" s="1288"/>
      <c r="R294" s="1288"/>
      <c r="S294" s="1288"/>
    </row>
    <row r="295" spans="1:19" s="474" customFormat="1" ht="28.5" customHeight="1">
      <c r="A295" s="744"/>
      <c r="B295" s="744"/>
      <c r="C295" s="740">
        <f t="shared" si="120"/>
        <v>0</v>
      </c>
      <c r="D295" s="743"/>
      <c r="E295" s="743"/>
      <c r="F295" s="743"/>
      <c r="G295" s="743"/>
      <c r="H295" s="743"/>
      <c r="L295" s="1286"/>
      <c r="M295" s="1287"/>
      <c r="N295" s="740">
        <f t="shared" si="121"/>
        <v>0</v>
      </c>
      <c r="O295" s="1288"/>
      <c r="P295" s="1288"/>
      <c r="Q295" s="1288"/>
      <c r="R295" s="1288"/>
      <c r="S295" s="1288"/>
    </row>
    <row r="296" spans="1:19" s="474" customFormat="1" ht="28.5" customHeight="1">
      <c r="A296" s="744"/>
      <c r="B296" s="744"/>
      <c r="C296" s="740">
        <f t="shared" si="120"/>
        <v>0</v>
      </c>
      <c r="D296" s="743"/>
      <c r="E296" s="743"/>
      <c r="F296" s="743"/>
      <c r="G296" s="743"/>
      <c r="H296" s="743"/>
      <c r="L296" s="1286"/>
      <c r="M296" s="1287"/>
      <c r="N296" s="740">
        <f t="shared" si="121"/>
        <v>0</v>
      </c>
      <c r="O296" s="1288"/>
      <c r="P296" s="1288"/>
      <c r="Q296" s="1288"/>
      <c r="R296" s="1288"/>
      <c r="S296" s="1288"/>
    </row>
    <row r="297" spans="1:19" s="474" customFormat="1" ht="28.5" customHeight="1">
      <c r="A297" s="744"/>
      <c r="B297" s="744"/>
      <c r="C297" s="740">
        <f t="shared" si="120"/>
        <v>0</v>
      </c>
      <c r="D297" s="743"/>
      <c r="E297" s="743"/>
      <c r="F297" s="743"/>
      <c r="G297" s="743"/>
      <c r="H297" s="743"/>
      <c r="L297" s="1286"/>
      <c r="M297" s="1287"/>
      <c r="N297" s="740">
        <f t="shared" si="121"/>
        <v>0</v>
      </c>
      <c r="O297" s="1288"/>
      <c r="P297" s="1288"/>
      <c r="Q297" s="1288"/>
      <c r="R297" s="1288"/>
      <c r="S297" s="1288"/>
    </row>
    <row r="298" spans="1:19" s="474" customFormat="1" ht="28.5" customHeight="1">
      <c r="A298" s="744"/>
      <c r="B298" s="744"/>
      <c r="C298" s="740">
        <f t="shared" si="120"/>
        <v>0</v>
      </c>
      <c r="D298" s="743"/>
      <c r="E298" s="743"/>
      <c r="F298" s="743"/>
      <c r="G298" s="743"/>
      <c r="H298" s="743"/>
      <c r="L298" s="1286"/>
      <c r="M298" s="1287"/>
      <c r="N298" s="740">
        <f t="shared" si="121"/>
        <v>0</v>
      </c>
      <c r="O298" s="1288"/>
      <c r="P298" s="1288"/>
      <c r="Q298" s="1288"/>
      <c r="R298" s="1288"/>
      <c r="S298" s="1288"/>
    </row>
    <row r="299" spans="1:19" s="474" customFormat="1" ht="28.5" customHeight="1">
      <c r="A299" s="745">
        <f>D8</f>
        <v>2018</v>
      </c>
      <c r="B299" s="746" t="str">
        <f>D9</f>
        <v xml:space="preserve">план организации </v>
      </c>
      <c r="C299" s="740">
        <f>SUM(C300:C306)</f>
        <v>0</v>
      </c>
      <c r="D299" s="740">
        <f t="shared" ref="D299:H299" si="122">SUM(D300:D306)</f>
        <v>0</v>
      </c>
      <c r="E299" s="740">
        <f t="shared" si="122"/>
        <v>0</v>
      </c>
      <c r="F299" s="740">
        <f t="shared" si="122"/>
        <v>0</v>
      </c>
      <c r="G299" s="740">
        <f t="shared" si="122"/>
        <v>0</v>
      </c>
      <c r="H299" s="740">
        <f t="shared" si="122"/>
        <v>0</v>
      </c>
    </row>
    <row r="300" spans="1:19" s="474" customFormat="1" ht="28.5" customHeight="1">
      <c r="A300" s="744"/>
      <c r="B300" s="744"/>
      <c r="C300" s="740">
        <f t="shared" ref="C300:C306" si="123">SUM(D300:H300)</f>
        <v>0</v>
      </c>
      <c r="D300" s="743"/>
      <c r="E300" s="743"/>
      <c r="F300" s="743"/>
      <c r="G300" s="743"/>
      <c r="H300" s="743"/>
    </row>
    <row r="301" spans="1:19" s="474" customFormat="1" ht="28.5" customHeight="1">
      <c r="A301" s="744"/>
      <c r="B301" s="744"/>
      <c r="C301" s="740">
        <f t="shared" si="123"/>
        <v>0</v>
      </c>
      <c r="D301" s="743"/>
      <c r="E301" s="743"/>
      <c r="F301" s="743"/>
      <c r="G301" s="743"/>
      <c r="H301" s="743"/>
    </row>
    <row r="302" spans="1:19" s="474" customFormat="1" ht="28.5" customHeight="1">
      <c r="A302" s="744"/>
      <c r="B302" s="744"/>
      <c r="C302" s="740">
        <f t="shared" si="123"/>
        <v>0</v>
      </c>
      <c r="D302" s="743"/>
      <c r="E302" s="743"/>
      <c r="F302" s="743"/>
      <c r="G302" s="743"/>
      <c r="H302" s="743"/>
    </row>
    <row r="303" spans="1:19" s="474" customFormat="1" ht="28.5" customHeight="1">
      <c r="A303" s="744"/>
      <c r="B303" s="744"/>
      <c r="C303" s="740">
        <f t="shared" si="123"/>
        <v>0</v>
      </c>
      <c r="D303" s="743"/>
      <c r="E303" s="743"/>
      <c r="F303" s="743"/>
      <c r="G303" s="743"/>
      <c r="H303" s="743"/>
    </row>
    <row r="304" spans="1:19" s="474" customFormat="1" ht="28.5" customHeight="1">
      <c r="A304" s="744"/>
      <c r="B304" s="744"/>
      <c r="C304" s="740">
        <f t="shared" si="123"/>
        <v>0</v>
      </c>
      <c r="D304" s="743"/>
      <c r="E304" s="743"/>
      <c r="F304" s="743"/>
      <c r="G304" s="743"/>
      <c r="H304" s="743"/>
    </row>
    <row r="305" spans="1:19" s="474" customFormat="1" ht="28.5" customHeight="1">
      <c r="A305" s="744"/>
      <c r="B305" s="744"/>
      <c r="C305" s="740">
        <f t="shared" si="123"/>
        <v>0</v>
      </c>
      <c r="D305" s="743"/>
      <c r="E305" s="743"/>
      <c r="F305" s="743"/>
      <c r="G305" s="743"/>
      <c r="H305" s="743"/>
    </row>
    <row r="306" spans="1:19" s="474" customFormat="1" ht="28.5" customHeight="1">
      <c r="A306" s="744"/>
      <c r="B306" s="744"/>
      <c r="C306" s="740">
        <f t="shared" si="123"/>
        <v>0</v>
      </c>
      <c r="D306" s="743"/>
      <c r="E306" s="743"/>
      <c r="F306" s="743"/>
      <c r="G306" s="743"/>
      <c r="H306" s="743"/>
    </row>
    <row r="307" spans="1:19" s="474" customFormat="1" ht="28.5" customHeight="1" collapsed="1"/>
    <row r="308" spans="1:19" s="474" customFormat="1" ht="28.5" customHeight="1">
      <c r="A308" s="735" t="s">
        <v>1773</v>
      </c>
      <c r="L308" s="1285" t="s">
        <v>1773</v>
      </c>
    </row>
    <row r="309" spans="1:19" s="474" customFormat="1" ht="21.75" customHeight="1">
      <c r="A309" s="1599" t="s">
        <v>1778</v>
      </c>
      <c r="B309" s="1599"/>
      <c r="C309" s="1599"/>
      <c r="D309" s="1599"/>
      <c r="E309" s="1599"/>
      <c r="F309" s="1599"/>
      <c r="G309" s="1599"/>
      <c r="H309" s="1599"/>
      <c r="L309" s="1599" t="s">
        <v>1778</v>
      </c>
      <c r="M309" s="1599"/>
      <c r="N309" s="1599"/>
      <c r="O309" s="1599"/>
      <c r="P309" s="1599"/>
      <c r="Q309" s="1599"/>
      <c r="R309" s="1599"/>
      <c r="S309" s="1599"/>
    </row>
    <row r="310" spans="1:19" s="474" customFormat="1" ht="21.75" customHeight="1">
      <c r="A310" s="1345"/>
      <c r="B310" s="1599" t="s">
        <v>382</v>
      </c>
      <c r="C310" s="1599"/>
      <c r="D310" s="1599"/>
      <c r="E310" s="1599"/>
      <c r="F310" s="1599"/>
      <c r="G310" s="1599"/>
      <c r="H310" s="1599"/>
      <c r="L310" s="1345"/>
      <c r="M310" s="1599" t="s">
        <v>382</v>
      </c>
      <c r="N310" s="1599"/>
      <c r="O310" s="1599"/>
      <c r="P310" s="1599"/>
      <c r="Q310" s="1599"/>
      <c r="R310" s="1599"/>
      <c r="S310" s="1599"/>
    </row>
    <row r="311" spans="1:19" s="474" customFormat="1" ht="60" customHeight="1">
      <c r="A311" s="1345" t="s">
        <v>183</v>
      </c>
      <c r="B311" s="1599" t="s">
        <v>1774</v>
      </c>
      <c r="C311" s="1599"/>
      <c r="D311" s="1599"/>
      <c r="E311" s="1599" t="s">
        <v>1779</v>
      </c>
      <c r="F311" s="1599"/>
      <c r="G311" s="1345" t="s">
        <v>1780</v>
      </c>
      <c r="H311" s="1340" t="s">
        <v>581</v>
      </c>
      <c r="L311" s="1345" t="s">
        <v>183</v>
      </c>
      <c r="M311" s="1599" t="s">
        <v>1774</v>
      </c>
      <c r="N311" s="1599"/>
      <c r="O311" s="1599"/>
      <c r="P311" s="1599" t="s">
        <v>1779</v>
      </c>
      <c r="Q311" s="1599"/>
      <c r="R311" s="1345" t="s">
        <v>1780</v>
      </c>
      <c r="S311" s="1340" t="s">
        <v>581</v>
      </c>
    </row>
    <row r="312" spans="1:19" s="474" customFormat="1" ht="15.75" customHeight="1">
      <c r="A312" s="738">
        <f>A291</f>
        <v>2016</v>
      </c>
      <c r="B312" s="1600" t="str">
        <f>C9</f>
        <v>факт по данным организации</v>
      </c>
      <c r="C312" s="1601"/>
      <c r="D312" s="1602"/>
      <c r="E312" s="1603"/>
      <c r="F312" s="1603"/>
      <c r="G312" s="1346"/>
      <c r="H312" s="1346"/>
      <c r="L312" s="738">
        <f>L291</f>
        <v>2018</v>
      </c>
      <c r="M312" s="1606" t="str">
        <f>M291</f>
        <v>план экперта</v>
      </c>
      <c r="N312" s="1601"/>
      <c r="O312" s="1602"/>
      <c r="P312" s="1603"/>
      <c r="Q312" s="1603"/>
      <c r="R312" s="1346"/>
      <c r="S312" s="1346"/>
    </row>
    <row r="313" spans="1:19" s="474" customFormat="1">
      <c r="A313" s="744"/>
      <c r="B313" s="1608"/>
      <c r="C313" s="1608"/>
      <c r="D313" s="1608"/>
      <c r="E313" s="1609"/>
      <c r="F313" s="1609"/>
      <c r="G313" s="744"/>
      <c r="H313" s="748"/>
      <c r="L313" s="747"/>
      <c r="M313" s="1604"/>
      <c r="N313" s="1604"/>
      <c r="O313" s="1604"/>
      <c r="P313" s="1605"/>
      <c r="Q313" s="1605"/>
      <c r="R313" s="747"/>
      <c r="S313" s="758"/>
    </row>
    <row r="314" spans="1:19" s="474" customFormat="1">
      <c r="A314" s="744"/>
      <c r="B314" s="1608"/>
      <c r="C314" s="1608"/>
      <c r="D314" s="1608"/>
      <c r="E314" s="1609"/>
      <c r="F314" s="1609"/>
      <c r="G314" s="744"/>
      <c r="H314" s="748"/>
      <c r="L314" s="747"/>
      <c r="M314" s="1604"/>
      <c r="N314" s="1604"/>
      <c r="O314" s="1604"/>
      <c r="P314" s="1605"/>
      <c r="Q314" s="1605"/>
      <c r="R314" s="747"/>
      <c r="S314" s="758"/>
    </row>
    <row r="315" spans="1:19" s="474" customFormat="1">
      <c r="A315" s="744"/>
      <c r="B315" s="1608"/>
      <c r="C315" s="1608"/>
      <c r="D315" s="1608"/>
      <c r="E315" s="1609"/>
      <c r="F315" s="1609"/>
      <c r="G315" s="744"/>
      <c r="H315" s="748"/>
      <c r="L315" s="747"/>
      <c r="M315" s="1604"/>
      <c r="N315" s="1604"/>
      <c r="O315" s="1604"/>
      <c r="P315" s="1605"/>
      <c r="Q315" s="1605"/>
      <c r="R315" s="747"/>
      <c r="S315" s="758"/>
    </row>
    <row r="316" spans="1:19" s="474" customFormat="1">
      <c r="A316" s="744"/>
      <c r="B316" s="1608"/>
      <c r="C316" s="1608"/>
      <c r="D316" s="1608"/>
      <c r="E316" s="1609"/>
      <c r="F316" s="1609"/>
      <c r="G316" s="744"/>
      <c r="H316" s="748"/>
      <c r="L316" s="747"/>
      <c r="M316" s="1604"/>
      <c r="N316" s="1604"/>
      <c r="O316" s="1604"/>
      <c r="P316" s="1605"/>
      <c r="Q316" s="1605"/>
      <c r="R316" s="747"/>
      <c r="S316" s="758"/>
    </row>
    <row r="317" spans="1:19" s="474" customFormat="1">
      <c r="A317" s="744"/>
      <c r="B317" s="1608"/>
      <c r="C317" s="1608"/>
      <c r="D317" s="1608"/>
      <c r="E317" s="1609"/>
      <c r="F317" s="1609"/>
      <c r="G317" s="744"/>
      <c r="H317" s="748"/>
      <c r="L317" s="747"/>
      <c r="M317" s="1604"/>
      <c r="N317" s="1604"/>
      <c r="O317" s="1604"/>
      <c r="P317" s="1605"/>
      <c r="Q317" s="1605"/>
      <c r="R317" s="747"/>
      <c r="S317" s="758"/>
    </row>
    <row r="318" spans="1:19" s="474" customFormat="1">
      <c r="A318" s="744"/>
      <c r="B318" s="1608"/>
      <c r="C318" s="1608"/>
      <c r="D318" s="1608"/>
      <c r="E318" s="1609"/>
      <c r="F318" s="1609"/>
      <c r="G318" s="744"/>
      <c r="H318" s="748"/>
      <c r="L318" s="747"/>
      <c r="M318" s="1604"/>
      <c r="N318" s="1604"/>
      <c r="O318" s="1604"/>
      <c r="P318" s="1605"/>
      <c r="Q318" s="1605"/>
      <c r="R318" s="747"/>
      <c r="S318" s="758"/>
    </row>
    <row r="319" spans="1:19" s="474" customFormat="1" ht="30.75" customHeight="1" collapsed="1">
      <c r="A319" s="749" t="s">
        <v>520</v>
      </c>
      <c r="B319" s="1610" t="s">
        <v>480</v>
      </c>
      <c r="C319" s="1611"/>
      <c r="D319" s="1611"/>
      <c r="E319" s="1611" t="s">
        <v>480</v>
      </c>
      <c r="F319" s="1612"/>
      <c r="G319" s="1346" t="s">
        <v>480</v>
      </c>
      <c r="H319" s="750">
        <f>SUM(H313:H318)</f>
        <v>0</v>
      </c>
      <c r="L319" s="1346" t="s">
        <v>520</v>
      </c>
      <c r="M319" s="1607" t="s">
        <v>480</v>
      </c>
      <c r="N319" s="1607"/>
      <c r="O319" s="1607"/>
      <c r="P319" s="1607" t="s">
        <v>480</v>
      </c>
      <c r="Q319" s="1607"/>
      <c r="R319" s="1346" t="s">
        <v>480</v>
      </c>
      <c r="S319" s="750">
        <f>SUM(S313:S318)</f>
        <v>0</v>
      </c>
    </row>
    <row r="320" spans="1:19" s="474" customFormat="1" ht="15.75" customHeight="1">
      <c r="A320" s="738">
        <f>D8</f>
        <v>2018</v>
      </c>
      <c r="B320" s="1600" t="str">
        <f>D9</f>
        <v xml:space="preserve">план организации </v>
      </c>
      <c r="C320" s="1601"/>
      <c r="D320" s="1602"/>
      <c r="E320" s="1603"/>
      <c r="F320" s="1603"/>
      <c r="G320" s="1346"/>
      <c r="H320" s="1346"/>
    </row>
    <row r="321" spans="1:19" s="474" customFormat="1">
      <c r="A321" s="744"/>
      <c r="B321" s="1608"/>
      <c r="C321" s="1608"/>
      <c r="D321" s="1608"/>
      <c r="E321" s="1609"/>
      <c r="F321" s="1609"/>
      <c r="G321" s="744"/>
      <c r="H321" s="748"/>
    </row>
    <row r="322" spans="1:19" s="474" customFormat="1">
      <c r="A322" s="744"/>
      <c r="B322" s="1608"/>
      <c r="C322" s="1608"/>
      <c r="D322" s="1608"/>
      <c r="E322" s="1609"/>
      <c r="F322" s="1609"/>
      <c r="G322" s="744"/>
      <c r="H322" s="748"/>
    </row>
    <row r="323" spans="1:19" s="474" customFormat="1">
      <c r="A323" s="744"/>
      <c r="B323" s="1608"/>
      <c r="C323" s="1608"/>
      <c r="D323" s="1608"/>
      <c r="E323" s="1609"/>
      <c r="F323" s="1609"/>
      <c r="G323" s="744"/>
      <c r="H323" s="748"/>
    </row>
    <row r="324" spans="1:19" s="474" customFormat="1">
      <c r="A324" s="744"/>
      <c r="B324" s="1608"/>
      <c r="C324" s="1608"/>
      <c r="D324" s="1608"/>
      <c r="E324" s="1609"/>
      <c r="F324" s="1609"/>
      <c r="G324" s="744"/>
      <c r="H324" s="748"/>
    </row>
    <row r="325" spans="1:19" s="474" customFormat="1">
      <c r="A325" s="744"/>
      <c r="B325" s="1608"/>
      <c r="C325" s="1608"/>
      <c r="D325" s="1608"/>
      <c r="E325" s="1609"/>
      <c r="F325" s="1609"/>
      <c r="G325" s="744"/>
      <c r="H325" s="748"/>
    </row>
    <row r="326" spans="1:19" s="474" customFormat="1">
      <c r="A326" s="744"/>
      <c r="B326" s="1608"/>
      <c r="C326" s="1608"/>
      <c r="D326" s="1608"/>
      <c r="E326" s="1609"/>
      <c r="F326" s="1609"/>
      <c r="G326" s="744"/>
      <c r="H326" s="748"/>
    </row>
    <row r="327" spans="1:19" s="474" customFormat="1" ht="30.75" customHeight="1" collapsed="1">
      <c r="A327" s="1346" t="s">
        <v>520</v>
      </c>
      <c r="B327" s="1607" t="s">
        <v>480</v>
      </c>
      <c r="C327" s="1607"/>
      <c r="D327" s="1607"/>
      <c r="E327" s="1607" t="s">
        <v>480</v>
      </c>
      <c r="F327" s="1607"/>
      <c r="G327" s="1346" t="s">
        <v>480</v>
      </c>
      <c r="H327" s="750">
        <f>SUM(H321:H326)</f>
        <v>0</v>
      </c>
    </row>
    <row r="328" spans="1:19" s="474" customFormat="1" ht="28.5" customHeight="1"/>
    <row r="329" spans="1:19" s="474" customFormat="1" ht="28.5" customHeight="1">
      <c r="A329" s="735" t="s">
        <v>1781</v>
      </c>
      <c r="B329" s="736"/>
      <c r="C329" s="736"/>
      <c r="D329" s="736"/>
      <c r="E329" s="736"/>
      <c r="F329" s="736"/>
      <c r="G329" s="736"/>
      <c r="H329" s="736"/>
      <c r="L329" s="735" t="s">
        <v>1781</v>
      </c>
      <c r="M329" s="736"/>
      <c r="N329" s="736"/>
      <c r="O329" s="736"/>
      <c r="P329" s="736"/>
      <c r="Q329" s="736"/>
      <c r="R329" s="736"/>
      <c r="S329" s="736"/>
    </row>
    <row r="330" spans="1:19" s="474" customFormat="1" ht="28.5" customHeight="1">
      <c r="A330" s="1583"/>
      <c r="B330" s="1594" t="s">
        <v>1774</v>
      </c>
      <c r="C330" s="1583" t="s">
        <v>1782</v>
      </c>
      <c r="D330" s="1583"/>
      <c r="E330" s="1583"/>
      <c r="F330" s="1583"/>
      <c r="G330" s="1583"/>
      <c r="H330" s="1583"/>
      <c r="L330" s="1583"/>
      <c r="M330" s="1594" t="s">
        <v>1774</v>
      </c>
      <c r="N330" s="1583" t="s">
        <v>1782</v>
      </c>
      <c r="O330" s="1583"/>
      <c r="P330" s="1583"/>
      <c r="Q330" s="1583"/>
      <c r="R330" s="1583"/>
      <c r="S330" s="1583"/>
    </row>
    <row r="331" spans="1:19" s="474" customFormat="1" ht="28.5" customHeight="1">
      <c r="A331" s="1583"/>
      <c r="B331" s="1595"/>
      <c r="C331" s="1583" t="s">
        <v>188</v>
      </c>
      <c r="D331" s="1583" t="s">
        <v>468</v>
      </c>
      <c r="E331" s="1583"/>
      <c r="F331" s="1583"/>
      <c r="G331" s="1583"/>
      <c r="H331" s="1583"/>
      <c r="L331" s="1583"/>
      <c r="M331" s="1595"/>
      <c r="N331" s="1583" t="s">
        <v>188</v>
      </c>
      <c r="O331" s="1583" t="s">
        <v>468</v>
      </c>
      <c r="P331" s="1583"/>
      <c r="Q331" s="1583"/>
      <c r="R331" s="1583"/>
      <c r="S331" s="1583"/>
    </row>
    <row r="332" spans="1:19" s="474" customFormat="1" ht="102" customHeight="1">
      <c r="A332" s="1583"/>
      <c r="B332" s="1596"/>
      <c r="C332" s="1583"/>
      <c r="D332" s="1340" t="s">
        <v>830</v>
      </c>
      <c r="E332" s="1340" t="s">
        <v>1776</v>
      </c>
      <c r="F332" s="1340" t="s">
        <v>833</v>
      </c>
      <c r="G332" s="1340" t="s">
        <v>837</v>
      </c>
      <c r="H332" s="1334" t="s">
        <v>1777</v>
      </c>
      <c r="L332" s="1583"/>
      <c r="M332" s="1596"/>
      <c r="N332" s="1583"/>
      <c r="O332" s="1340" t="s">
        <v>830</v>
      </c>
      <c r="P332" s="1340" t="s">
        <v>1776</v>
      </c>
      <c r="Q332" s="1340" t="s">
        <v>833</v>
      </c>
      <c r="R332" s="1340" t="s">
        <v>837</v>
      </c>
      <c r="S332" s="1334" t="s">
        <v>1777</v>
      </c>
    </row>
    <row r="333" spans="1:19" s="741" customFormat="1" ht="28.5" customHeight="1">
      <c r="A333" s="738">
        <f>A312</f>
        <v>2016</v>
      </c>
      <c r="B333" s="739" t="str">
        <f>C9</f>
        <v>факт по данным организации</v>
      </c>
      <c r="C333" s="740">
        <f t="shared" ref="C333:H333" si="124">SUM(C334:C340)</f>
        <v>0</v>
      </c>
      <c r="D333" s="740">
        <f t="shared" si="124"/>
        <v>0</v>
      </c>
      <c r="E333" s="740">
        <f t="shared" si="124"/>
        <v>0</v>
      </c>
      <c r="F333" s="740">
        <f t="shared" si="124"/>
        <v>0</v>
      </c>
      <c r="G333" s="740">
        <f t="shared" si="124"/>
        <v>0</v>
      </c>
      <c r="H333" s="740">
        <f t="shared" si="124"/>
        <v>0</v>
      </c>
      <c r="L333" s="1290" t="str">
        <f>O8</f>
        <v>предложение эксперта на 2018 г</v>
      </c>
      <c r="M333" s="1289"/>
      <c r="N333" s="740">
        <f>SUM(N334:N340)</f>
        <v>0</v>
      </c>
      <c r="O333" s="740">
        <f t="shared" ref="O333:S333" si="125">SUM(O334:O340)</f>
        <v>0</v>
      </c>
      <c r="P333" s="740">
        <f t="shared" si="125"/>
        <v>0</v>
      </c>
      <c r="Q333" s="740">
        <f t="shared" si="125"/>
        <v>0</v>
      </c>
      <c r="R333" s="740">
        <f t="shared" si="125"/>
        <v>0</v>
      </c>
      <c r="S333" s="740">
        <f t="shared" si="125"/>
        <v>0</v>
      </c>
    </row>
    <row r="334" spans="1:19" s="474" customFormat="1" ht="28.5" customHeight="1">
      <c r="A334" s="742"/>
      <c r="B334" s="742"/>
      <c r="C334" s="740">
        <f t="shared" ref="C334:C340" si="126">SUM(D334:H334)</f>
        <v>0</v>
      </c>
      <c r="D334" s="743"/>
      <c r="E334" s="743"/>
      <c r="F334" s="743"/>
      <c r="G334" s="743"/>
      <c r="H334" s="743"/>
      <c r="L334" s="747"/>
      <c r="M334" s="747"/>
      <c r="N334" s="740">
        <f t="shared" ref="N334:N340" si="127">SUM(O334:S334)</f>
        <v>0</v>
      </c>
      <c r="O334" s="322"/>
      <c r="P334" s="322"/>
      <c r="Q334" s="322"/>
      <c r="R334" s="322"/>
      <c r="S334" s="322"/>
    </row>
    <row r="335" spans="1:19" s="474" customFormat="1" ht="28.5" customHeight="1">
      <c r="A335" s="742"/>
      <c r="B335" s="742"/>
      <c r="C335" s="740">
        <f t="shared" si="126"/>
        <v>0</v>
      </c>
      <c r="D335" s="743"/>
      <c r="E335" s="743"/>
      <c r="F335" s="743"/>
      <c r="G335" s="743"/>
      <c r="H335" s="743"/>
      <c r="L335" s="747"/>
      <c r="M335" s="747"/>
      <c r="N335" s="740">
        <f t="shared" si="127"/>
        <v>0</v>
      </c>
      <c r="O335" s="322"/>
      <c r="P335" s="322"/>
      <c r="Q335" s="322"/>
      <c r="R335" s="322"/>
      <c r="S335" s="322"/>
    </row>
    <row r="336" spans="1:19" s="474" customFormat="1" ht="28.5" customHeight="1">
      <c r="A336" s="742"/>
      <c r="B336" s="742"/>
      <c r="C336" s="740">
        <f t="shared" si="126"/>
        <v>0</v>
      </c>
      <c r="D336" s="743"/>
      <c r="E336" s="743"/>
      <c r="F336" s="743"/>
      <c r="G336" s="743"/>
      <c r="H336" s="743"/>
      <c r="L336" s="747"/>
      <c r="M336" s="747"/>
      <c r="N336" s="740">
        <f t="shared" si="127"/>
        <v>0</v>
      </c>
      <c r="O336" s="322"/>
      <c r="P336" s="322"/>
      <c r="Q336" s="322"/>
      <c r="R336" s="322"/>
      <c r="S336" s="322"/>
    </row>
    <row r="337" spans="1:19" s="474" customFormat="1" ht="28.5" customHeight="1">
      <c r="A337" s="744"/>
      <c r="B337" s="744"/>
      <c r="C337" s="740">
        <f t="shared" si="126"/>
        <v>0</v>
      </c>
      <c r="D337" s="743"/>
      <c r="E337" s="743"/>
      <c r="F337" s="743"/>
      <c r="G337" s="743"/>
      <c r="H337" s="743"/>
      <c r="L337" s="747"/>
      <c r="M337" s="747"/>
      <c r="N337" s="740">
        <f t="shared" si="127"/>
        <v>0</v>
      </c>
      <c r="O337" s="322"/>
      <c r="P337" s="322"/>
      <c r="Q337" s="322"/>
      <c r="R337" s="322"/>
      <c r="S337" s="322"/>
    </row>
    <row r="338" spans="1:19" s="474" customFormat="1" ht="28.5" customHeight="1">
      <c r="A338" s="744"/>
      <c r="B338" s="744"/>
      <c r="C338" s="740">
        <f t="shared" si="126"/>
        <v>0</v>
      </c>
      <c r="D338" s="743"/>
      <c r="E338" s="743"/>
      <c r="F338" s="743"/>
      <c r="G338" s="743"/>
      <c r="H338" s="743"/>
      <c r="L338" s="747"/>
      <c r="M338" s="747"/>
      <c r="N338" s="740">
        <f t="shared" si="127"/>
        <v>0</v>
      </c>
      <c r="O338" s="322"/>
      <c r="P338" s="322"/>
      <c r="Q338" s="322"/>
      <c r="R338" s="322"/>
      <c r="S338" s="322"/>
    </row>
    <row r="339" spans="1:19" s="474" customFormat="1" ht="28.5" customHeight="1">
      <c r="A339" s="744"/>
      <c r="B339" s="744"/>
      <c r="C339" s="740">
        <f t="shared" si="126"/>
        <v>0</v>
      </c>
      <c r="D339" s="743"/>
      <c r="E339" s="743"/>
      <c r="F339" s="743"/>
      <c r="G339" s="743"/>
      <c r="H339" s="743"/>
      <c r="L339" s="747"/>
      <c r="M339" s="747"/>
      <c r="N339" s="740">
        <f t="shared" si="127"/>
        <v>0</v>
      </c>
      <c r="O339" s="322"/>
      <c r="P339" s="322"/>
      <c r="Q339" s="322"/>
      <c r="R339" s="322"/>
      <c r="S339" s="322"/>
    </row>
    <row r="340" spans="1:19" s="474" customFormat="1" ht="28.5" customHeight="1">
      <c r="A340" s="744"/>
      <c r="B340" s="744"/>
      <c r="C340" s="740">
        <f t="shared" si="126"/>
        <v>0</v>
      </c>
      <c r="D340" s="743"/>
      <c r="E340" s="743"/>
      <c r="F340" s="743"/>
      <c r="G340" s="743"/>
      <c r="H340" s="743"/>
      <c r="L340" s="747"/>
      <c r="M340" s="747"/>
      <c r="N340" s="740">
        <f t="shared" si="127"/>
        <v>0</v>
      </c>
      <c r="O340" s="322"/>
      <c r="P340" s="322"/>
      <c r="Q340" s="322"/>
      <c r="R340" s="322"/>
      <c r="S340" s="322"/>
    </row>
    <row r="341" spans="1:19" s="474" customFormat="1" ht="28.5" customHeight="1">
      <c r="A341" s="745">
        <f>D8</f>
        <v>2018</v>
      </c>
      <c r="B341" s="746" t="str">
        <f>D9</f>
        <v xml:space="preserve">план организации </v>
      </c>
      <c r="C341" s="740">
        <f>SUM(C342:C348)</f>
        <v>0</v>
      </c>
      <c r="D341" s="740">
        <f t="shared" ref="D341:H341" si="128">SUM(D342:D348)</f>
        <v>0</v>
      </c>
      <c r="E341" s="740">
        <f t="shared" si="128"/>
        <v>0</v>
      </c>
      <c r="F341" s="740">
        <f t="shared" si="128"/>
        <v>0</v>
      </c>
      <c r="G341" s="740">
        <f t="shared" si="128"/>
        <v>0</v>
      </c>
      <c r="H341" s="740">
        <f t="shared" si="128"/>
        <v>0</v>
      </c>
    </row>
    <row r="342" spans="1:19" s="474" customFormat="1" ht="28.5" customHeight="1">
      <c r="A342" s="744"/>
      <c r="B342" s="744"/>
      <c r="C342" s="740">
        <f t="shared" ref="C342:C348" si="129">SUM(D342:H342)</f>
        <v>0</v>
      </c>
      <c r="D342" s="743"/>
      <c r="E342" s="743"/>
      <c r="F342" s="743"/>
      <c r="G342" s="743"/>
      <c r="H342" s="743"/>
    </row>
    <row r="343" spans="1:19" s="474" customFormat="1" ht="28.5" customHeight="1">
      <c r="A343" s="744"/>
      <c r="B343" s="744"/>
      <c r="C343" s="740">
        <f t="shared" si="129"/>
        <v>0</v>
      </c>
      <c r="D343" s="743"/>
      <c r="E343" s="743"/>
      <c r="F343" s="743"/>
      <c r="G343" s="743"/>
      <c r="H343" s="743"/>
    </row>
    <row r="344" spans="1:19" s="474" customFormat="1" ht="28.5" customHeight="1">
      <c r="A344" s="744"/>
      <c r="B344" s="744"/>
      <c r="C344" s="740">
        <f t="shared" si="129"/>
        <v>0</v>
      </c>
      <c r="D344" s="743"/>
      <c r="E344" s="743"/>
      <c r="F344" s="743"/>
      <c r="G344" s="743"/>
      <c r="H344" s="743"/>
    </row>
    <row r="345" spans="1:19" s="474" customFormat="1" ht="28.5" customHeight="1">
      <c r="A345" s="744"/>
      <c r="B345" s="744"/>
      <c r="C345" s="740">
        <f t="shared" si="129"/>
        <v>0</v>
      </c>
      <c r="D345" s="743"/>
      <c r="E345" s="743"/>
      <c r="F345" s="743"/>
      <c r="G345" s="743"/>
      <c r="H345" s="743"/>
    </row>
    <row r="346" spans="1:19" s="474" customFormat="1" ht="28.5" customHeight="1">
      <c r="A346" s="744"/>
      <c r="B346" s="744"/>
      <c r="C346" s="740">
        <f t="shared" si="129"/>
        <v>0</v>
      </c>
      <c r="D346" s="743"/>
      <c r="E346" s="743"/>
      <c r="F346" s="743"/>
      <c r="G346" s="743"/>
      <c r="H346" s="743"/>
    </row>
    <row r="347" spans="1:19" s="474" customFormat="1" ht="28.5" customHeight="1">
      <c r="A347" s="744"/>
      <c r="B347" s="744"/>
      <c r="C347" s="740">
        <f t="shared" si="129"/>
        <v>0</v>
      </c>
      <c r="D347" s="743"/>
      <c r="E347" s="743"/>
      <c r="F347" s="743"/>
      <c r="G347" s="743"/>
      <c r="H347" s="743"/>
    </row>
    <row r="348" spans="1:19" s="474" customFormat="1" ht="28.5" customHeight="1">
      <c r="A348" s="744"/>
      <c r="B348" s="744"/>
      <c r="C348" s="740">
        <f t="shared" si="129"/>
        <v>0</v>
      </c>
      <c r="D348" s="743"/>
      <c r="E348" s="743"/>
      <c r="F348" s="743"/>
      <c r="G348" s="743"/>
      <c r="H348" s="743"/>
    </row>
    <row r="349" spans="1:19" s="474" customFormat="1" ht="28.5" customHeight="1" collapsed="1"/>
    <row r="350" spans="1:19" s="474" customFormat="1" ht="28.5" customHeight="1">
      <c r="A350" s="735" t="s">
        <v>1781</v>
      </c>
      <c r="B350" s="736"/>
      <c r="C350" s="736"/>
      <c r="D350" s="736"/>
      <c r="E350" s="736"/>
      <c r="F350" s="736"/>
      <c r="G350" s="736"/>
      <c r="H350" s="736"/>
      <c r="L350" s="735" t="s">
        <v>1781</v>
      </c>
      <c r="M350" s="736"/>
    </row>
    <row r="351" spans="1:19" s="474" customFormat="1" ht="21.75" customHeight="1">
      <c r="A351" s="1599" t="s">
        <v>1783</v>
      </c>
      <c r="B351" s="1599"/>
      <c r="C351" s="1599"/>
      <c r="D351" s="1599"/>
      <c r="E351" s="1599"/>
      <c r="F351" s="1599"/>
      <c r="G351" s="1599"/>
      <c r="H351" s="1599"/>
      <c r="L351" s="1599" t="s">
        <v>1783</v>
      </c>
      <c r="M351" s="1599"/>
      <c r="N351" s="1599"/>
      <c r="O351" s="1599"/>
      <c r="P351" s="1599"/>
      <c r="Q351" s="1599"/>
      <c r="R351" s="1599"/>
      <c r="S351" s="1599"/>
    </row>
    <row r="352" spans="1:19" s="474" customFormat="1" ht="21.75" customHeight="1">
      <c r="A352" s="1345"/>
      <c r="B352" s="1599" t="s">
        <v>382</v>
      </c>
      <c r="C352" s="1599"/>
      <c r="D352" s="1599"/>
      <c r="E352" s="1599"/>
      <c r="F352" s="1599"/>
      <c r="G352" s="1599"/>
      <c r="H352" s="1599"/>
      <c r="L352" s="1345"/>
      <c r="M352" s="1599" t="s">
        <v>382</v>
      </c>
      <c r="N352" s="1599"/>
      <c r="O352" s="1599"/>
      <c r="P352" s="1599"/>
      <c r="Q352" s="1599"/>
      <c r="R352" s="1599"/>
      <c r="S352" s="1599"/>
    </row>
    <row r="353" spans="1:19" s="474" customFormat="1" ht="60" customHeight="1">
      <c r="A353" s="1345" t="s">
        <v>183</v>
      </c>
      <c r="B353" s="1599" t="s">
        <v>1774</v>
      </c>
      <c r="C353" s="1599"/>
      <c r="D353" s="1599"/>
      <c r="E353" s="1599" t="s">
        <v>1779</v>
      </c>
      <c r="F353" s="1599"/>
      <c r="G353" s="1345" t="s">
        <v>1780</v>
      </c>
      <c r="H353" s="1340" t="s">
        <v>581</v>
      </c>
      <c r="L353" s="1345" t="s">
        <v>183</v>
      </c>
      <c r="M353" s="1599" t="s">
        <v>1774</v>
      </c>
      <c r="N353" s="1599"/>
      <c r="O353" s="1599"/>
      <c r="P353" s="1599" t="s">
        <v>1779</v>
      </c>
      <c r="Q353" s="1599"/>
      <c r="R353" s="1345" t="s">
        <v>1780</v>
      </c>
      <c r="S353" s="1340" t="s">
        <v>581</v>
      </c>
    </row>
    <row r="354" spans="1:19" s="474" customFormat="1" ht="15.75" customHeight="1">
      <c r="A354" s="738">
        <f>A333</f>
        <v>2016</v>
      </c>
      <c r="B354" s="1600" t="str">
        <f>C9</f>
        <v>факт по данным организации</v>
      </c>
      <c r="C354" s="1601"/>
      <c r="D354" s="1602"/>
      <c r="E354" s="1603"/>
      <c r="F354" s="1603"/>
      <c r="G354" s="1346"/>
      <c r="H354" s="1346"/>
      <c r="L354" s="1291" t="s">
        <v>1794</v>
      </c>
      <c r="M354" s="1292"/>
      <c r="N354" s="1293"/>
      <c r="O354" s="1294"/>
      <c r="P354" s="1603"/>
      <c r="Q354" s="1603"/>
      <c r="R354" s="1346"/>
      <c r="S354" s="1346"/>
    </row>
    <row r="355" spans="1:19" s="474" customFormat="1">
      <c r="A355" s="744"/>
      <c r="B355" s="1608"/>
      <c r="C355" s="1608"/>
      <c r="D355" s="1608"/>
      <c r="E355" s="1609"/>
      <c r="F355" s="1609"/>
      <c r="G355" s="744"/>
      <c r="H355" s="748"/>
      <c r="L355" s="747"/>
      <c r="M355" s="1604"/>
      <c r="N355" s="1604"/>
      <c r="O355" s="1604"/>
      <c r="P355" s="1605"/>
      <c r="Q355" s="1605"/>
      <c r="R355" s="747"/>
      <c r="S355" s="758"/>
    </row>
    <row r="356" spans="1:19" s="474" customFormat="1">
      <c r="A356" s="744"/>
      <c r="B356" s="1608"/>
      <c r="C356" s="1608"/>
      <c r="D356" s="1608"/>
      <c r="E356" s="1609"/>
      <c r="F356" s="1609"/>
      <c r="G356" s="744"/>
      <c r="H356" s="748"/>
      <c r="L356" s="747"/>
      <c r="M356" s="1604"/>
      <c r="N356" s="1604"/>
      <c r="O356" s="1604"/>
      <c r="P356" s="1605"/>
      <c r="Q356" s="1605"/>
      <c r="R356" s="747"/>
      <c r="S356" s="758"/>
    </row>
    <row r="357" spans="1:19" s="474" customFormat="1">
      <c r="A357" s="744"/>
      <c r="B357" s="1608"/>
      <c r="C357" s="1608"/>
      <c r="D357" s="1608"/>
      <c r="E357" s="1609"/>
      <c r="F357" s="1609"/>
      <c r="G357" s="744"/>
      <c r="H357" s="748"/>
      <c r="L357" s="747"/>
      <c r="M357" s="1604"/>
      <c r="N357" s="1604"/>
      <c r="O357" s="1604"/>
      <c r="P357" s="1605"/>
      <c r="Q357" s="1605"/>
      <c r="R357" s="747"/>
      <c r="S357" s="758"/>
    </row>
    <row r="358" spans="1:19" s="474" customFormat="1">
      <c r="A358" s="744"/>
      <c r="B358" s="1608"/>
      <c r="C358" s="1608"/>
      <c r="D358" s="1608"/>
      <c r="E358" s="1609"/>
      <c r="F358" s="1609"/>
      <c r="G358" s="744"/>
      <c r="H358" s="748"/>
      <c r="L358" s="747"/>
      <c r="M358" s="1604"/>
      <c r="N358" s="1604"/>
      <c r="O358" s="1604"/>
      <c r="P358" s="1605"/>
      <c r="Q358" s="1605"/>
      <c r="R358" s="747"/>
      <c r="S358" s="758"/>
    </row>
    <row r="359" spans="1:19" s="474" customFormat="1">
      <c r="A359" s="744"/>
      <c r="B359" s="1608"/>
      <c r="C359" s="1608"/>
      <c r="D359" s="1608"/>
      <c r="E359" s="1609"/>
      <c r="F359" s="1609"/>
      <c r="G359" s="744"/>
      <c r="H359" s="748"/>
      <c r="L359" s="747"/>
      <c r="M359" s="1604"/>
      <c r="N359" s="1604"/>
      <c r="O359" s="1604"/>
      <c r="P359" s="1605"/>
      <c r="Q359" s="1605"/>
      <c r="R359" s="747"/>
      <c r="S359" s="758"/>
    </row>
    <row r="360" spans="1:19" s="474" customFormat="1">
      <c r="A360" s="744"/>
      <c r="B360" s="1608"/>
      <c r="C360" s="1608"/>
      <c r="D360" s="1608"/>
      <c r="E360" s="1609"/>
      <c r="F360" s="1609"/>
      <c r="G360" s="744"/>
      <c r="H360" s="748"/>
      <c r="L360" s="747"/>
      <c r="M360" s="1604"/>
      <c r="N360" s="1604"/>
      <c r="O360" s="1604"/>
      <c r="P360" s="1605"/>
      <c r="Q360" s="1605"/>
      <c r="R360" s="747"/>
      <c r="S360" s="758"/>
    </row>
    <row r="361" spans="1:19" s="474" customFormat="1" ht="30.75" customHeight="1" collapsed="1">
      <c r="A361" s="749" t="s">
        <v>520</v>
      </c>
      <c r="B361" s="1610" t="s">
        <v>480</v>
      </c>
      <c r="C361" s="1611"/>
      <c r="D361" s="1611"/>
      <c r="E361" s="1611" t="s">
        <v>480</v>
      </c>
      <c r="F361" s="1612"/>
      <c r="G361" s="1346" t="s">
        <v>480</v>
      </c>
      <c r="H361" s="750">
        <f>SUM(H355:H360)</f>
        <v>0</v>
      </c>
      <c r="L361" s="1724" t="s">
        <v>520</v>
      </c>
      <c r="M361" s="1725" t="s">
        <v>480</v>
      </c>
      <c r="N361" s="1725"/>
      <c r="O361" s="1725"/>
      <c r="P361" s="1725" t="s">
        <v>480</v>
      </c>
      <c r="Q361" s="1725"/>
      <c r="R361" s="1724" t="s">
        <v>480</v>
      </c>
      <c r="S361" s="1726">
        <f>SUM(S355:S360)</f>
        <v>0</v>
      </c>
    </row>
    <row r="362" spans="1:19" s="474" customFormat="1" ht="15.75" customHeight="1">
      <c r="A362" s="738">
        <f>D8</f>
        <v>2018</v>
      </c>
      <c r="B362" s="1600" t="str">
        <f>D9</f>
        <v xml:space="preserve">план организации </v>
      </c>
      <c r="C362" s="1601"/>
      <c r="D362" s="1602"/>
      <c r="E362" s="1603"/>
      <c r="F362" s="1603"/>
      <c r="G362" s="1346"/>
      <c r="H362" s="1346"/>
    </row>
    <row r="363" spans="1:19" s="474" customFormat="1">
      <c r="A363" s="744"/>
      <c r="B363" s="1608"/>
      <c r="C363" s="1608"/>
      <c r="D363" s="1608"/>
      <c r="E363" s="1609"/>
      <c r="F363" s="1609"/>
      <c r="G363" s="744"/>
      <c r="H363" s="748"/>
    </row>
    <row r="364" spans="1:19" s="474" customFormat="1">
      <c r="A364" s="744"/>
      <c r="B364" s="1608"/>
      <c r="C364" s="1608"/>
      <c r="D364" s="1608"/>
      <c r="E364" s="1609"/>
      <c r="F364" s="1609"/>
      <c r="G364" s="744"/>
      <c r="H364" s="748"/>
    </row>
    <row r="365" spans="1:19" s="474" customFormat="1">
      <c r="A365" s="744"/>
      <c r="B365" s="1608"/>
      <c r="C365" s="1608"/>
      <c r="D365" s="1608"/>
      <c r="E365" s="1609"/>
      <c r="F365" s="1609"/>
      <c r="G365" s="744"/>
      <c r="H365" s="748"/>
    </row>
    <row r="366" spans="1:19" s="474" customFormat="1">
      <c r="A366" s="744"/>
      <c r="B366" s="1608"/>
      <c r="C366" s="1608"/>
      <c r="D366" s="1608"/>
      <c r="E366" s="1609"/>
      <c r="F366" s="1609"/>
      <c r="G366" s="744"/>
      <c r="H366" s="748"/>
    </row>
    <row r="367" spans="1:19" s="474" customFormat="1">
      <c r="A367" s="744"/>
      <c r="B367" s="1608"/>
      <c r="C367" s="1608"/>
      <c r="D367" s="1608"/>
      <c r="E367" s="1609"/>
      <c r="F367" s="1609"/>
      <c r="G367" s="744"/>
      <c r="H367" s="748"/>
    </row>
    <row r="368" spans="1:19" s="474" customFormat="1">
      <c r="A368" s="744"/>
      <c r="B368" s="1608"/>
      <c r="C368" s="1608"/>
      <c r="D368" s="1608"/>
      <c r="E368" s="1609"/>
      <c r="F368" s="1609"/>
      <c r="G368" s="744"/>
      <c r="H368" s="748"/>
    </row>
    <row r="369" spans="1:8" s="474" customFormat="1" ht="30.75" customHeight="1" collapsed="1">
      <c r="A369" s="1346" t="s">
        <v>520</v>
      </c>
      <c r="B369" s="1607" t="s">
        <v>480</v>
      </c>
      <c r="C369" s="1607"/>
      <c r="D369" s="1607"/>
      <c r="E369" s="1607" t="s">
        <v>480</v>
      </c>
      <c r="F369" s="1607"/>
      <c r="G369" s="1346" t="s">
        <v>480</v>
      </c>
      <c r="H369" s="750">
        <f>SUM(H363:H368)</f>
        <v>0</v>
      </c>
    </row>
  </sheetData>
  <sheetProtection password="F489" sheet="1" objects="1" scenarios="1" formatCells="0" formatColumns="0" formatRows="0" insertRows="0"/>
  <mergeCells count="170">
    <mergeCell ref="N8:N9"/>
    <mergeCell ref="O8:O9"/>
    <mergeCell ref="O187:O188"/>
    <mergeCell ref="P187:P188"/>
    <mergeCell ref="O236:O237"/>
    <mergeCell ref="P236:P237"/>
    <mergeCell ref="M360:O360"/>
    <mergeCell ref="P360:Q360"/>
    <mergeCell ref="M361:O361"/>
    <mergeCell ref="P361:Q361"/>
    <mergeCell ref="M357:O357"/>
    <mergeCell ref="P357:Q357"/>
    <mergeCell ref="M358:O358"/>
    <mergeCell ref="P358:Q358"/>
    <mergeCell ref="M359:O359"/>
    <mergeCell ref="P359:Q359"/>
    <mergeCell ref="P353:Q353"/>
    <mergeCell ref="P354:Q354"/>
    <mergeCell ref="M355:O355"/>
    <mergeCell ref="P355:Q355"/>
    <mergeCell ref="M356:O356"/>
    <mergeCell ref="P356:Q356"/>
    <mergeCell ref="L330:L332"/>
    <mergeCell ref="M330:M332"/>
    <mergeCell ref="N330:S330"/>
    <mergeCell ref="N331:N332"/>
    <mergeCell ref="O331:S331"/>
    <mergeCell ref="M316:O316"/>
    <mergeCell ref="P316:Q316"/>
    <mergeCell ref="M317:O317"/>
    <mergeCell ref="P317:Q317"/>
    <mergeCell ref="M318:O318"/>
    <mergeCell ref="P318:Q318"/>
    <mergeCell ref="L236:L237"/>
    <mergeCell ref="M236:M237"/>
    <mergeCell ref="N236:N237"/>
    <mergeCell ref="L283:M283"/>
    <mergeCell ref="L284:M284"/>
    <mergeCell ref="L288:L290"/>
    <mergeCell ref="M288:M290"/>
    <mergeCell ref="N288:S288"/>
    <mergeCell ref="N289:N290"/>
    <mergeCell ref="O289:S289"/>
    <mergeCell ref="L3:O3"/>
    <mergeCell ref="L4:O4"/>
    <mergeCell ref="L8:L9"/>
    <mergeCell ref="M8:M9"/>
    <mergeCell ref="L185:P185"/>
    <mergeCell ref="L187:L188"/>
    <mergeCell ref="M187:M188"/>
    <mergeCell ref="N187:N188"/>
    <mergeCell ref="A1:D1"/>
    <mergeCell ref="A3:D3"/>
    <mergeCell ref="A4:D4"/>
    <mergeCell ref="L1:O1"/>
    <mergeCell ref="B361:D361"/>
    <mergeCell ref="E361:F361"/>
    <mergeCell ref="B362:D362"/>
    <mergeCell ref="E362:F362"/>
    <mergeCell ref="B363:D363"/>
    <mergeCell ref="E363:F363"/>
    <mergeCell ref="B358:D358"/>
    <mergeCell ref="E358:F358"/>
    <mergeCell ref="B359:D359"/>
    <mergeCell ref="E359:F359"/>
    <mergeCell ref="B360:D360"/>
    <mergeCell ref="E360:F360"/>
    <mergeCell ref="B367:D367"/>
    <mergeCell ref="E367:F367"/>
    <mergeCell ref="B368:D368"/>
    <mergeCell ref="E368:F368"/>
    <mergeCell ref="B369:D369"/>
    <mergeCell ref="E369:F369"/>
    <mergeCell ref="B364:D364"/>
    <mergeCell ref="E364:F364"/>
    <mergeCell ref="B365:D365"/>
    <mergeCell ref="E365:F365"/>
    <mergeCell ref="B366:D366"/>
    <mergeCell ref="E366:F366"/>
    <mergeCell ref="B355:D355"/>
    <mergeCell ref="E355:F355"/>
    <mergeCell ref="B356:D356"/>
    <mergeCell ref="E356:F356"/>
    <mergeCell ref="B357:D357"/>
    <mergeCell ref="E357:F357"/>
    <mergeCell ref="A351:H351"/>
    <mergeCell ref="B352:H352"/>
    <mergeCell ref="B353:D353"/>
    <mergeCell ref="E353:F353"/>
    <mergeCell ref="B354:D354"/>
    <mergeCell ref="E354:F354"/>
    <mergeCell ref="L351:S351"/>
    <mergeCell ref="M352:S352"/>
    <mergeCell ref="M353:O353"/>
    <mergeCell ref="A330:A332"/>
    <mergeCell ref="B330:B332"/>
    <mergeCell ref="C330:H330"/>
    <mergeCell ref="C331:C332"/>
    <mergeCell ref="D331:H331"/>
    <mergeCell ref="B325:D325"/>
    <mergeCell ref="E325:F325"/>
    <mergeCell ref="B326:D326"/>
    <mergeCell ref="E326:F326"/>
    <mergeCell ref="B327:D327"/>
    <mergeCell ref="E327:F327"/>
    <mergeCell ref="B322:D322"/>
    <mergeCell ref="E322:F322"/>
    <mergeCell ref="B323:D323"/>
    <mergeCell ref="E323:F323"/>
    <mergeCell ref="B324:D324"/>
    <mergeCell ref="E324:F324"/>
    <mergeCell ref="B319:D319"/>
    <mergeCell ref="E319:F319"/>
    <mergeCell ref="B320:D320"/>
    <mergeCell ref="E320:F320"/>
    <mergeCell ref="B321:D321"/>
    <mergeCell ref="E321:F321"/>
    <mergeCell ref="B316:D316"/>
    <mergeCell ref="E316:F316"/>
    <mergeCell ref="B317:D317"/>
    <mergeCell ref="E317:F317"/>
    <mergeCell ref="B318:D318"/>
    <mergeCell ref="E318:F318"/>
    <mergeCell ref="B313:D313"/>
    <mergeCell ref="E313:F313"/>
    <mergeCell ref="B314:D314"/>
    <mergeCell ref="E314:F314"/>
    <mergeCell ref="B315:D315"/>
    <mergeCell ref="E315:F315"/>
    <mergeCell ref="A309:H309"/>
    <mergeCell ref="B310:H310"/>
    <mergeCell ref="B311:D311"/>
    <mergeCell ref="E311:F311"/>
    <mergeCell ref="B312:D312"/>
    <mergeCell ref="E312:F312"/>
    <mergeCell ref="L309:S309"/>
    <mergeCell ref="M310:S310"/>
    <mergeCell ref="M311:O311"/>
    <mergeCell ref="M313:O313"/>
    <mergeCell ref="P313:Q313"/>
    <mergeCell ref="M314:O314"/>
    <mergeCell ref="P314:Q314"/>
    <mergeCell ref="M315:O315"/>
    <mergeCell ref="P315:Q315"/>
    <mergeCell ref="M312:O312"/>
    <mergeCell ref="P312:Q312"/>
    <mergeCell ref="P311:Q311"/>
    <mergeCell ref="M319:O319"/>
    <mergeCell ref="P319:Q319"/>
    <mergeCell ref="A283:B283"/>
    <mergeCell ref="A284:B284"/>
    <mergeCell ref="A288:A290"/>
    <mergeCell ref="B288:B290"/>
    <mergeCell ref="C288:H288"/>
    <mergeCell ref="C289:C290"/>
    <mergeCell ref="D289:H289"/>
    <mergeCell ref="A189:A192"/>
    <mergeCell ref="A236:A237"/>
    <mergeCell ref="B236:B237"/>
    <mergeCell ref="C236:C237"/>
    <mergeCell ref="A233:E233"/>
    <mergeCell ref="L189:L192"/>
    <mergeCell ref="L233:P233"/>
    <mergeCell ref="A185:E185"/>
    <mergeCell ref="J185:K185"/>
    <mergeCell ref="A187:A188"/>
    <mergeCell ref="B187:B188"/>
    <mergeCell ref="C187:C188"/>
    <mergeCell ref="A8:A9"/>
    <mergeCell ref="B8:B9"/>
  </mergeCells>
  <printOptions headings="1"/>
  <pageMargins left="0.70866141732283472" right="0.70866141732283472" top="0.74803149606299213" bottom="0.74803149606299213" header="0.31496062992125984" footer="0.31496062992125984"/>
  <pageSetup paperSize="9" scale="1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F0"/>
  </sheetPr>
  <dimension ref="A1:G169"/>
  <sheetViews>
    <sheetView workbookViewId="0">
      <selection sqref="A1:C1"/>
    </sheetView>
  </sheetViews>
  <sheetFormatPr defaultRowHeight="15"/>
  <cols>
    <col min="1" max="1" width="9.140625" style="223"/>
    <col min="2" max="2" width="71.140625" style="223" customWidth="1"/>
    <col min="3" max="3" width="25.42578125" style="223" customWidth="1"/>
    <col min="4" max="4" width="19.28515625" style="223" hidden="1" customWidth="1"/>
    <col min="5" max="5" width="19.5703125" style="223" hidden="1" customWidth="1"/>
    <col min="6" max="6" width="16.5703125" style="223" hidden="1" customWidth="1"/>
    <col min="7" max="7" width="31.85546875" style="223" customWidth="1"/>
    <col min="8" max="16384" width="9.140625" style="223"/>
  </cols>
  <sheetData>
    <row r="1" spans="1:7" s="417" customFormat="1" ht="15.75">
      <c r="A1" s="1436" t="s">
        <v>1796</v>
      </c>
      <c r="B1" s="1436"/>
      <c r="C1" s="1436"/>
      <c r="D1" s="234"/>
      <c r="E1" s="234"/>
      <c r="F1" s="234"/>
      <c r="G1" s="234"/>
    </row>
    <row r="2" spans="1:7" s="417" customFormat="1" ht="15.75">
      <c r="A2" s="1113"/>
      <c r="B2" s="1113"/>
      <c r="C2" s="1113"/>
      <c r="D2" s="234"/>
      <c r="E2" s="234"/>
      <c r="F2" s="234"/>
      <c r="G2" s="234"/>
    </row>
    <row r="3" spans="1:7" s="417" customFormat="1" ht="32.25" customHeight="1">
      <c r="A3" s="1459" t="str">
        <f>Титульный!B10</f>
        <v xml:space="preserve"> </v>
      </c>
      <c r="B3" s="1459"/>
      <c r="C3" s="1459"/>
      <c r="D3" s="234"/>
      <c r="E3" s="234"/>
      <c r="F3" s="234"/>
      <c r="G3" s="234"/>
    </row>
    <row r="4" spans="1:7" s="417" customFormat="1" ht="5.25" customHeight="1">
      <c r="A4" s="234"/>
      <c r="B4" s="234"/>
      <c r="C4" s="234"/>
      <c r="D4" s="234"/>
      <c r="E4" s="234"/>
      <c r="F4" s="234"/>
      <c r="G4" s="234"/>
    </row>
    <row r="5" spans="1:7" s="417" customFormat="1" ht="15.75">
      <c r="A5" s="1436" t="str">
        <f>Титульный!B21</f>
        <v/>
      </c>
      <c r="B5" s="1436"/>
      <c r="C5" s="1436"/>
      <c r="D5" s="234"/>
      <c r="E5" s="234"/>
      <c r="F5" s="234"/>
      <c r="G5" s="234"/>
    </row>
    <row r="6" spans="1:7" s="417" customFormat="1" ht="15.75">
      <c r="A6" s="1113"/>
      <c r="B6" s="1113"/>
      <c r="C6" s="1113"/>
      <c r="D6" s="234"/>
      <c r="E6" s="234"/>
      <c r="F6" s="234"/>
      <c r="G6" s="234"/>
    </row>
    <row r="7" spans="1:7" s="417" customFormat="1" ht="15.75">
      <c r="A7" s="607" t="s">
        <v>199</v>
      </c>
      <c r="B7" s="100">
        <f>Титульный!B6</f>
        <v>0</v>
      </c>
      <c r="C7" s="234"/>
      <c r="D7" s="173"/>
      <c r="E7" s="234"/>
      <c r="F7" s="234"/>
      <c r="G7" s="234"/>
    </row>
    <row r="8" spans="1:7" s="417" customFormat="1" ht="15.75">
      <c r="A8" s="98" t="s">
        <v>200</v>
      </c>
      <c r="B8" s="100">
        <f>Титульный!B7</f>
        <v>0</v>
      </c>
      <c r="C8" s="98"/>
      <c r="D8" s="173"/>
      <c r="E8" s="234"/>
      <c r="F8" s="234"/>
      <c r="G8" s="234"/>
    </row>
    <row r="9" spans="1:7" s="417" customFormat="1" ht="15.75">
      <c r="A9" s="234"/>
      <c r="B9" s="234"/>
      <c r="C9" s="234" t="s">
        <v>588</v>
      </c>
      <c r="D9" s="234"/>
      <c r="E9" s="234"/>
      <c r="F9" s="234"/>
      <c r="G9" s="234"/>
    </row>
    <row r="10" spans="1:7" s="417" customFormat="1" ht="15.75">
      <c r="A10" s="1619" t="s">
        <v>183</v>
      </c>
      <c r="B10" s="1619" t="s">
        <v>308</v>
      </c>
      <c r="C10" s="1542" t="s">
        <v>1129</v>
      </c>
      <c r="D10" s="1542"/>
      <c r="E10" s="1542"/>
      <c r="F10" s="1542"/>
      <c r="G10" s="1619" t="s">
        <v>459</v>
      </c>
    </row>
    <row r="11" spans="1:7" s="418" customFormat="1" ht="47.25">
      <c r="A11" s="1619"/>
      <c r="B11" s="1619"/>
      <c r="C11" s="1105" t="s">
        <v>290</v>
      </c>
      <c r="D11" s="1105" t="s">
        <v>1996</v>
      </c>
      <c r="E11" s="1105" t="s">
        <v>1023</v>
      </c>
      <c r="F11" s="1300" t="s">
        <v>1802</v>
      </c>
      <c r="G11" s="1619"/>
    </row>
    <row r="12" spans="1:7" ht="22.5" customHeight="1">
      <c r="A12" s="425" t="s">
        <v>651</v>
      </c>
      <c r="B12" s="426" t="s">
        <v>645</v>
      </c>
      <c r="C12" s="427">
        <f>C13+C19+C27+C28+C29+C30+C31+C32</f>
        <v>0</v>
      </c>
      <c r="D12" s="427">
        <f t="shared" ref="D12:E12" si="0">D13+D19+D27+D28+D29+D30+D31+D32</f>
        <v>0</v>
      </c>
      <c r="E12" s="427">
        <f t="shared" si="0"/>
        <v>0</v>
      </c>
      <c r="F12" s="1298">
        <f>E12-D12</f>
        <v>0</v>
      </c>
      <c r="G12" s="419"/>
    </row>
    <row r="13" spans="1:7" ht="31.5">
      <c r="A13" s="428" t="s">
        <v>387</v>
      </c>
      <c r="B13" s="379" t="s">
        <v>652</v>
      </c>
      <c r="C13" s="429">
        <f>SUM(C14:C18)</f>
        <v>0</v>
      </c>
      <c r="D13" s="429">
        <f t="shared" ref="D13:E13" si="1">SUM(D14:D18)</f>
        <v>0</v>
      </c>
      <c r="E13" s="429">
        <f t="shared" si="1"/>
        <v>0</v>
      </c>
      <c r="F13" s="430"/>
      <c r="G13" s="419"/>
    </row>
    <row r="14" spans="1:7" ht="15.75">
      <c r="A14" s="377" t="s">
        <v>224</v>
      </c>
      <c r="B14" s="375" t="s">
        <v>653</v>
      </c>
      <c r="C14" s="431">
        <f>'тепловая энергия на обогрев'!F41</f>
        <v>0</v>
      </c>
      <c r="D14" s="431">
        <f>IF(Титульный!$B$17="2016-2018",'НВВ базовый расчет'!L30,'НВВ базовый расчет'!H30)</f>
        <v>0</v>
      </c>
      <c r="E14" s="431">
        <f>'тепловая энергия на обогрев'!I41</f>
        <v>0</v>
      </c>
      <c r="F14" s="431"/>
      <c r="G14" s="419"/>
    </row>
    <row r="15" spans="1:7" ht="15.75">
      <c r="A15" s="377" t="s">
        <v>191</v>
      </c>
      <c r="B15" s="375" t="s">
        <v>654</v>
      </c>
      <c r="C15" s="431">
        <f>'расходы по покупке воды'!E9</f>
        <v>0</v>
      </c>
      <c r="D15" s="431">
        <f>IF(Титульный!$B$17="2016-2018",'НВВ базовый расчет'!L31,'НВВ базовый расчет'!H31)</f>
        <v>0</v>
      </c>
      <c r="E15" s="431">
        <f>'расходы по покупке воды'!G9</f>
        <v>0</v>
      </c>
      <c r="F15" s="431"/>
      <c r="G15" s="419"/>
    </row>
    <row r="16" spans="1:7" ht="15.75">
      <c r="A16" s="377" t="s">
        <v>192</v>
      </c>
      <c r="B16" s="375" t="s">
        <v>697</v>
      </c>
      <c r="C16" s="431">
        <f>'сторонние услуги в тарифе'!E10+'сторонние услуги в тарифе'!E18</f>
        <v>0</v>
      </c>
      <c r="D16" s="431">
        <f>IF(Титульный!$B$17="2016-2018",'НВВ базовый расчет'!L32,'НВВ базовый расчет'!H32)</f>
        <v>0</v>
      </c>
      <c r="E16" s="431">
        <f>'сторонние услуги в тарифе'!G10+'сторонние услуги в тарифе'!G18</f>
        <v>0</v>
      </c>
      <c r="F16" s="431"/>
      <c r="G16" s="419"/>
    </row>
    <row r="17" spans="1:7" ht="15.75">
      <c r="A17" s="377" t="s">
        <v>201</v>
      </c>
      <c r="B17" s="375" t="s">
        <v>658</v>
      </c>
      <c r="C17" s="431">
        <f>'сторонние услуги в тарифе'!E26</f>
        <v>0</v>
      </c>
      <c r="D17" s="431">
        <f>IF(Титульный!$B$17="2016-2018",'НВВ базовый расчет'!L33,'НВВ базовый расчет'!H33)</f>
        <v>0</v>
      </c>
      <c r="E17" s="431">
        <f>'сторонние услуги в тарифе'!G26</f>
        <v>0</v>
      </c>
      <c r="F17" s="431"/>
      <c r="G17" s="419"/>
    </row>
    <row r="18" spans="1:7" ht="15.75">
      <c r="A18" s="377" t="s">
        <v>202</v>
      </c>
      <c r="B18" s="375" t="s">
        <v>660</v>
      </c>
      <c r="C18" s="431">
        <f>'Прочие энергоресурсы'!E20</f>
        <v>0</v>
      </c>
      <c r="D18" s="431">
        <f>IF(Титульный!$B$17="2016-2018",'НВВ базовый расчет'!L34,'НВВ базовый расчет'!H34)</f>
        <v>0</v>
      </c>
      <c r="E18" s="431">
        <f>'Прочие энергоресурсы'!G20</f>
        <v>0</v>
      </c>
      <c r="F18" s="431"/>
      <c r="G18" s="419"/>
    </row>
    <row r="19" spans="1:7" ht="15.75">
      <c r="A19" s="428" t="s">
        <v>311</v>
      </c>
      <c r="B19" s="379" t="s">
        <v>507</v>
      </c>
      <c r="C19" s="429">
        <f>SUM(C20:C26)</f>
        <v>0</v>
      </c>
      <c r="D19" s="429">
        <f t="shared" ref="D19:E19" si="2">SUM(D20:D26)</f>
        <v>0</v>
      </c>
      <c r="E19" s="429">
        <f t="shared" si="2"/>
        <v>0</v>
      </c>
      <c r="F19" s="429"/>
      <c r="G19" s="1295"/>
    </row>
    <row r="20" spans="1:7" ht="15.75">
      <c r="A20" s="377" t="s">
        <v>193</v>
      </c>
      <c r="B20" s="375" t="s">
        <v>661</v>
      </c>
      <c r="C20" s="420"/>
      <c r="D20" s="431">
        <f>IF(Титульный!$B$17="2016-2018",'НВВ базовый расчет'!L36,'НВВ базовый расчет'!H36)</f>
        <v>0</v>
      </c>
      <c r="E20" s="431">
        <f>E165+E166</f>
        <v>0</v>
      </c>
      <c r="F20" s="431"/>
      <c r="G20" s="1296" t="s">
        <v>1006</v>
      </c>
    </row>
    <row r="21" spans="1:7" ht="15.75">
      <c r="A21" s="377" t="s">
        <v>194</v>
      </c>
      <c r="B21" s="375" t="s">
        <v>662</v>
      </c>
      <c r="C21" s="431">
        <f>имущ.налог!K70</f>
        <v>0</v>
      </c>
      <c r="D21" s="431">
        <f>IF(Титульный!$B$17="2016-2018",'НВВ базовый расчет'!L37,'НВВ базовый расчет'!H37)</f>
        <v>0</v>
      </c>
      <c r="E21" s="431">
        <f>имущ.налог!T70</f>
        <v>0</v>
      </c>
      <c r="F21" s="431"/>
      <c r="G21" s="1295"/>
    </row>
    <row r="22" spans="1:7" ht="15.75">
      <c r="A22" s="377" t="s">
        <v>195</v>
      </c>
      <c r="B22" s="375" t="s">
        <v>663</v>
      </c>
      <c r="C22" s="431">
        <f>земля!H93</f>
        <v>0</v>
      </c>
      <c r="D22" s="431">
        <f>IF(Титульный!$B$17="2016-2018",'НВВ базовый расчет'!L38,'НВВ базовый расчет'!H38)</f>
        <v>0</v>
      </c>
      <c r="E22" s="431">
        <f>земля!J93</f>
        <v>0</v>
      </c>
      <c r="F22" s="431"/>
      <c r="G22" s="1295"/>
    </row>
    <row r="23" spans="1:7" ht="15.75">
      <c r="A23" s="377" t="s">
        <v>203</v>
      </c>
      <c r="B23" s="375" t="s">
        <v>664</v>
      </c>
      <c r="C23" s="431">
        <f>'водный налог'!C32+'водный налог'!D32</f>
        <v>0</v>
      </c>
      <c r="D23" s="431">
        <f>IF(Титульный!$B$17="2016-2018",'НВВ базовый расчет'!L39,'НВВ базовый расчет'!H39)</f>
        <v>0</v>
      </c>
      <c r="E23" s="431">
        <f>'водный налог'!L32+'водный налог'!M32</f>
        <v>0</v>
      </c>
      <c r="F23" s="431"/>
      <c r="G23" s="421"/>
    </row>
    <row r="24" spans="1:7" ht="15.75">
      <c r="A24" s="377" t="s">
        <v>204</v>
      </c>
      <c r="B24" s="375" t="s">
        <v>665</v>
      </c>
      <c r="C24" s="420"/>
      <c r="D24" s="431">
        <f>IF(Титульный!$B$17="2016-2018",'НВВ базовый расчет'!L40,'НВВ базовый расчет'!H40)</f>
        <v>0</v>
      </c>
      <c r="E24" s="156"/>
      <c r="F24" s="431"/>
      <c r="G24" s="1296" t="s">
        <v>1006</v>
      </c>
    </row>
    <row r="25" spans="1:7" ht="15.75">
      <c r="A25" s="377" t="s">
        <v>205</v>
      </c>
      <c r="B25" s="375" t="s">
        <v>666</v>
      </c>
      <c r="C25" s="420"/>
      <c r="D25" s="431">
        <f>IF(Титульный!$B$17="2016-2018",'НВВ базовый расчет'!L41,'НВВ базовый расчет'!H41)</f>
        <v>0</v>
      </c>
      <c r="E25" s="156"/>
      <c r="F25" s="431"/>
      <c r="G25" s="1296" t="s">
        <v>1006</v>
      </c>
    </row>
    <row r="26" spans="1:7" ht="15.75">
      <c r="A26" s="377" t="s">
        <v>206</v>
      </c>
      <c r="B26" s="375" t="s">
        <v>667</v>
      </c>
      <c r="C26" s="420"/>
      <c r="D26" s="431">
        <f>IF(Титульный!$B$17="2016-2018",'НВВ базовый расчет'!L42,'НВВ базовый расчет'!H42)</f>
        <v>0</v>
      </c>
      <c r="E26" s="156"/>
      <c r="F26" s="431"/>
      <c r="G26" s="1296" t="s">
        <v>1006</v>
      </c>
    </row>
    <row r="27" spans="1:7" ht="15.75">
      <c r="A27" s="428" t="s">
        <v>207</v>
      </c>
      <c r="B27" s="379" t="s">
        <v>668</v>
      </c>
      <c r="C27" s="429">
        <f>Аренда!L71</f>
        <v>0</v>
      </c>
      <c r="D27" s="429">
        <f>IF(Титульный!$B$17="2016-2018",'НВВ базовый расчет'!L43,'НВВ базовый расчет'!H43)</f>
        <v>0</v>
      </c>
      <c r="E27" s="429">
        <f>Аренда!U71</f>
        <v>0</v>
      </c>
      <c r="F27" s="429"/>
      <c r="G27" s="1295"/>
    </row>
    <row r="28" spans="1:7" ht="15.75">
      <c r="A28" s="428" t="s">
        <v>212</v>
      </c>
      <c r="B28" s="379" t="s">
        <v>669</v>
      </c>
      <c r="C28" s="422"/>
      <c r="D28" s="429">
        <f>IF(Титульный!$B$17="2016-2018",'НВВ базовый расчет'!L44,'НВВ базовый расчет'!H44)</f>
        <v>0</v>
      </c>
      <c r="E28" s="160"/>
      <c r="F28" s="429"/>
      <c r="G28" s="1296" t="s">
        <v>1006</v>
      </c>
    </row>
    <row r="29" spans="1:7" ht="15.75">
      <c r="A29" s="428" t="s">
        <v>324</v>
      </c>
      <c r="B29" s="1048" t="s">
        <v>1799</v>
      </c>
      <c r="C29" s="422"/>
      <c r="D29" s="429"/>
      <c r="E29" s="160"/>
      <c r="F29" s="429"/>
      <c r="G29" s="1296" t="s">
        <v>1006</v>
      </c>
    </row>
    <row r="30" spans="1:7" ht="15.75">
      <c r="A30" s="428" t="s">
        <v>317</v>
      </c>
      <c r="B30" s="379" t="s">
        <v>671</v>
      </c>
      <c r="C30" s="429">
        <f>Бесхоз!D182</f>
        <v>0</v>
      </c>
      <c r="D30" s="429">
        <f>IF(Титульный!$B$17="2016-2018",'НВВ базовый расчет'!L46,'НВВ базовый расчет'!H46)</f>
        <v>0</v>
      </c>
      <c r="E30" s="429">
        <f>Бесхоз!O182</f>
        <v>0</v>
      </c>
      <c r="F30" s="429"/>
      <c r="G30" s="1295"/>
    </row>
    <row r="31" spans="1:7" ht="15.75">
      <c r="A31" s="1055" t="s">
        <v>328</v>
      </c>
      <c r="B31" s="1058" t="s">
        <v>1921</v>
      </c>
      <c r="C31" s="422"/>
      <c r="D31" s="1056"/>
      <c r="E31" s="1056">
        <f>F40</f>
        <v>0</v>
      </c>
      <c r="F31" s="1056"/>
      <c r="G31" s="1296" t="s">
        <v>1006</v>
      </c>
    </row>
    <row r="32" spans="1:7" ht="15.75">
      <c r="A32" s="428" t="s">
        <v>330</v>
      </c>
      <c r="B32" s="379" t="s">
        <v>673</v>
      </c>
      <c r="C32" s="422"/>
      <c r="D32" s="429">
        <f>IF(Титульный!$B$17="2016-2018",'НВВ базовый расчет'!L48,'НВВ базовый расчет'!H48)</f>
        <v>0</v>
      </c>
      <c r="E32" s="160"/>
      <c r="F32" s="429"/>
      <c r="G32" s="1296" t="s">
        <v>1006</v>
      </c>
    </row>
    <row r="33" spans="1:7" ht="23.25">
      <c r="A33" s="425" t="s">
        <v>674</v>
      </c>
      <c r="B33" s="426" t="s">
        <v>646</v>
      </c>
      <c r="C33" s="422"/>
      <c r="D33" s="427">
        <f>IF(Титульный!$B$17="2016-2018",'НВВ базовый расчет'!L49,'НВВ базовый расчет'!H49)</f>
        <v>0</v>
      </c>
      <c r="E33" s="1317">
        <f>D33</f>
        <v>0</v>
      </c>
      <c r="F33" s="427">
        <f>E33-D33</f>
        <v>0</v>
      </c>
      <c r="G33" s="421" t="s">
        <v>1801</v>
      </c>
    </row>
    <row r="34" spans="1:7" ht="27.75" hidden="1" customHeight="1">
      <c r="D34" s="771">
        <f>D12+D33-'НВВ базовый расчет'!H28-'НВВ базовый расчет'!H49</f>
        <v>0</v>
      </c>
      <c r="E34" s="173"/>
      <c r="F34" s="1301" t="s">
        <v>1803</v>
      </c>
    </row>
    <row r="35" spans="1:7" hidden="1">
      <c r="B35" s="598"/>
      <c r="C35" s="599"/>
      <c r="E35" s="591"/>
    </row>
    <row r="36" spans="1:7" hidden="1">
      <c r="B36" s="598"/>
      <c r="C36" s="599"/>
    </row>
    <row r="37" spans="1:7" ht="30" hidden="1">
      <c r="B37" s="598"/>
      <c r="C37" s="599"/>
      <c r="D37" s="1302" t="s">
        <v>1927</v>
      </c>
      <c r="E37" s="1303" t="s">
        <v>1924</v>
      </c>
      <c r="F37" s="1303" t="s">
        <v>1925</v>
      </c>
      <c r="G37" s="1303" t="s">
        <v>1926</v>
      </c>
    </row>
    <row r="38" spans="1:7" hidden="1">
      <c r="B38" s="598"/>
      <c r="C38" s="599"/>
      <c r="D38" s="1304" t="s">
        <v>1922</v>
      </c>
      <c r="E38" s="1057"/>
      <c r="F38" s="1308"/>
      <c r="G38" s="1309"/>
    </row>
    <row r="39" spans="1:7" hidden="1">
      <c r="D39" s="1305" t="s">
        <v>1923</v>
      </c>
      <c r="E39" s="1057"/>
      <c r="F39" s="1308"/>
      <c r="G39" s="1309"/>
    </row>
    <row r="40" spans="1:7" hidden="1">
      <c r="D40" s="1306" t="s">
        <v>520</v>
      </c>
      <c r="E40" s="1307">
        <f>SUM(E38:E39)</f>
        <v>0</v>
      </c>
      <c r="F40" s="1059"/>
      <c r="G40" s="1310">
        <f>E40-F40</f>
        <v>0</v>
      </c>
    </row>
    <row r="150" spans="3:6" ht="15.75" hidden="1">
      <c r="C150" s="173"/>
      <c r="D150" s="333" t="s">
        <v>687</v>
      </c>
      <c r="E150" s="333"/>
      <c r="F150" s="173"/>
    </row>
    <row r="151" spans="3:6" ht="15.75" hidden="1">
      <c r="C151" s="173"/>
      <c r="D151" s="333" t="s">
        <v>953</v>
      </c>
      <c r="E151" s="1311">
        <f>'баланс ВСН'!X33</f>
        <v>0</v>
      </c>
      <c r="F151" s="173"/>
    </row>
    <row r="152" spans="3:6" ht="15.75" hidden="1">
      <c r="C152" s="173"/>
      <c r="D152" s="333" t="s">
        <v>950</v>
      </c>
      <c r="E152" s="1311">
        <f>ОР!N17</f>
        <v>0</v>
      </c>
      <c r="F152" s="173"/>
    </row>
    <row r="153" spans="3:6" ht="15.75" hidden="1">
      <c r="C153" s="173"/>
      <c r="D153" s="333" t="s">
        <v>951</v>
      </c>
      <c r="E153" s="1311">
        <f>SUM(E13,E21:E32)</f>
        <v>0</v>
      </c>
      <c r="F153" s="173"/>
    </row>
    <row r="154" spans="3:6" ht="15.75" hidden="1">
      <c r="C154" s="173"/>
      <c r="D154" s="333" t="s">
        <v>646</v>
      </c>
      <c r="E154" s="1311">
        <f>E33</f>
        <v>0</v>
      </c>
      <c r="F154" s="173"/>
    </row>
    <row r="155" spans="3:6" ht="15.75" hidden="1">
      <c r="C155" s="173"/>
      <c r="D155" s="333" t="s">
        <v>952</v>
      </c>
      <c r="E155" s="1311">
        <f>РЭ!P32</f>
        <v>0</v>
      </c>
      <c r="F155" s="173"/>
    </row>
    <row r="156" spans="3:6" ht="15.75" hidden="1">
      <c r="C156" s="173"/>
      <c r="D156" s="235" t="s">
        <v>688</v>
      </c>
      <c r="E156" s="1311">
        <f>E152+E153+E154+E155</f>
        <v>0</v>
      </c>
      <c r="F156" s="173"/>
    </row>
    <row r="157" spans="3:6" ht="15.75" hidden="1">
      <c r="C157" s="173"/>
      <c r="D157" s="235" t="s">
        <v>689</v>
      </c>
      <c r="E157" s="1311">
        <f>'баланс ВСН'!X33-'баланс ВСН'!R33</f>
        <v>0</v>
      </c>
      <c r="F157" s="173"/>
    </row>
    <row r="158" spans="3:6" ht="15.75" hidden="1" customHeight="1">
      <c r="C158" s="173"/>
      <c r="D158" s="235" t="s">
        <v>690</v>
      </c>
      <c r="E158" s="1311">
        <f>IF(E151=0,0,E156/E151*E157)</f>
        <v>0</v>
      </c>
      <c r="F158" s="173"/>
    </row>
    <row r="159" spans="3:6" ht="15.75" hidden="1">
      <c r="C159" s="173"/>
      <c r="D159" s="235" t="s">
        <v>299</v>
      </c>
      <c r="E159" s="173">
        <f>Титульный!B23</f>
        <v>0</v>
      </c>
      <c r="F159" s="173"/>
    </row>
    <row r="160" spans="3:6" ht="15.75" hidden="1" customHeight="1">
      <c r="C160" s="173"/>
      <c r="D160" s="235" t="s">
        <v>691</v>
      </c>
      <c r="E160" s="1311">
        <f>IF(E159="Общая",E158,E158*1.01)</f>
        <v>0</v>
      </c>
      <c r="F160" s="173"/>
    </row>
    <row r="161" spans="3:6" ht="15.75" hidden="1" customHeight="1">
      <c r="C161" s="173"/>
      <c r="D161" s="1044" t="s">
        <v>1876</v>
      </c>
      <c r="E161" s="1311">
        <f>IF(E159="Общая",0,E160-E158)</f>
        <v>0</v>
      </c>
      <c r="F161" s="173"/>
    </row>
    <row r="162" spans="3:6" ht="15.75" hidden="1" customHeight="1">
      <c r="C162" s="173"/>
      <c r="D162" s="1044" t="s">
        <v>1877</v>
      </c>
      <c r="E162" s="1311">
        <f>НП!M54</f>
        <v>0</v>
      </c>
      <c r="F162" s="1301" t="s">
        <v>1916</v>
      </c>
    </row>
    <row r="163" spans="3:6" ht="15.75" hidden="1" customHeight="1">
      <c r="C163" s="173"/>
      <c r="D163" s="1044" t="s">
        <v>692</v>
      </c>
      <c r="E163" s="1311">
        <f>IF(E159="Общая",0,IF(E162/0.9*0.1&gt;E161,E162/0.9*0.1+E162,E162+E161+0.01*E162))</f>
        <v>0</v>
      </c>
      <c r="F163" s="173"/>
    </row>
    <row r="164" spans="3:6" ht="15.75" hidden="1" customHeight="1">
      <c r="C164" s="173"/>
      <c r="D164" s="1044" t="s">
        <v>693</v>
      </c>
      <c r="E164" s="1311">
        <f>IF(E159="Общая",E162/0.8,0)</f>
        <v>0</v>
      </c>
      <c r="F164" s="173"/>
    </row>
    <row r="165" spans="3:6" ht="15.75" hidden="1" customHeight="1">
      <c r="C165" s="173"/>
      <c r="D165" s="1044" t="s">
        <v>694</v>
      </c>
      <c r="E165" s="1311">
        <f>IF(Титульный!B23="Общая",0,IF(0.1*E163&lt;=E161,E161+0.01*E162,0.1*E163))</f>
        <v>0</v>
      </c>
      <c r="F165" s="173"/>
    </row>
    <row r="166" spans="3:6" ht="15.75" hidden="1" customHeight="1">
      <c r="C166" s="173"/>
      <c r="D166" s="1044" t="s">
        <v>695</v>
      </c>
      <c r="E166" s="1311">
        <f>IF(Титульный!B23="Общая",0.2*E164,0)</f>
        <v>0</v>
      </c>
      <c r="F166" s="173"/>
    </row>
    <row r="167" spans="3:6" ht="15.75">
      <c r="D167" s="1299"/>
      <c r="E167" s="1299"/>
    </row>
    <row r="168" spans="3:6" ht="15.75">
      <c r="D168" s="1299"/>
      <c r="E168" s="1299"/>
    </row>
    <row r="169" spans="3:6" ht="15.75">
      <c r="D169" s="1299"/>
      <c r="E169" s="1299"/>
    </row>
  </sheetData>
  <sheetProtection password="F66E" sheet="1" objects="1" scenarios="1" formatCells="0" formatColumns="0" formatRows="0"/>
  <mergeCells count="7">
    <mergeCell ref="G10:G11"/>
    <mergeCell ref="B10:B11"/>
    <mergeCell ref="A10:A11"/>
    <mergeCell ref="A1:C1"/>
    <mergeCell ref="A3:C3"/>
    <mergeCell ref="A5:C5"/>
    <mergeCell ref="C10:F1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F0"/>
  </sheetPr>
  <dimension ref="A1:N54"/>
  <sheetViews>
    <sheetView workbookViewId="0">
      <selection sqref="A1:E1"/>
    </sheetView>
  </sheetViews>
  <sheetFormatPr defaultRowHeight="15"/>
  <cols>
    <col min="1" max="1" width="8.5703125" style="365" customWidth="1"/>
    <col min="2" max="2" width="45.5703125" style="365" customWidth="1"/>
    <col min="3" max="3" width="9.140625" style="365"/>
    <col min="4" max="4" width="19.28515625" style="365" customWidth="1"/>
    <col min="5" max="5" width="38.7109375" style="365" customWidth="1"/>
    <col min="6" max="9" width="9.140625" style="365"/>
    <col min="10" max="10" width="8.5703125" style="365" hidden="1" customWidth="1"/>
    <col min="11" max="11" width="45.5703125" style="365" hidden="1" customWidth="1"/>
    <col min="12" max="12" width="9.140625" style="365" hidden="1" customWidth="1"/>
    <col min="13" max="13" width="19.28515625" style="365" hidden="1" customWidth="1"/>
    <col min="14" max="14" width="38.7109375" style="365" hidden="1" customWidth="1"/>
    <col min="15" max="16384" width="9.140625" style="365"/>
  </cols>
  <sheetData>
    <row r="1" spans="1:14" ht="15.75">
      <c r="A1" s="1575" t="s">
        <v>610</v>
      </c>
      <c r="B1" s="1575"/>
      <c r="C1" s="1575"/>
      <c r="D1" s="1575"/>
      <c r="E1" s="1575"/>
      <c r="J1" s="1575" t="s">
        <v>610</v>
      </c>
      <c r="K1" s="1575"/>
      <c r="L1" s="1575"/>
      <c r="M1" s="1575"/>
      <c r="N1" s="1575"/>
    </row>
    <row r="2" spans="1:14" ht="15.75">
      <c r="A2" s="1621" t="str">
        <f>Титульный!B10</f>
        <v xml:space="preserve"> </v>
      </c>
      <c r="B2" s="1621"/>
      <c r="C2" s="1621"/>
      <c r="D2" s="1621"/>
      <c r="E2" s="1621"/>
      <c r="J2" s="1621" t="str">
        <f>A2</f>
        <v xml:space="preserve"> </v>
      </c>
      <c r="K2" s="1621"/>
      <c r="L2" s="1621"/>
      <c r="M2" s="1621"/>
      <c r="N2" s="1621"/>
    </row>
    <row r="3" spans="1:14" ht="15.75">
      <c r="A3" s="1622" t="str">
        <f>Титульный!B21</f>
        <v/>
      </c>
      <c r="B3" s="1622"/>
      <c r="C3" s="1622"/>
      <c r="D3" s="1622"/>
      <c r="E3" s="1622"/>
      <c r="J3" s="1622">
        <f>Титульный!K21</f>
        <v>0</v>
      </c>
      <c r="K3" s="1622"/>
      <c r="L3" s="1622"/>
      <c r="M3" s="1622"/>
      <c r="N3" s="1315"/>
    </row>
    <row r="4" spans="1:14" ht="15.75">
      <c r="A4" s="126"/>
      <c r="B4" s="126"/>
      <c r="C4" s="126"/>
      <c r="D4" s="126"/>
      <c r="E4" s="126"/>
      <c r="J4" s="126"/>
      <c r="K4" s="126"/>
      <c r="L4" s="126"/>
      <c r="M4" s="126"/>
      <c r="N4" s="126"/>
    </row>
    <row r="5" spans="1:14" ht="15.75">
      <c r="A5" s="607" t="s">
        <v>199</v>
      </c>
      <c r="B5" s="100">
        <f>Титульный!B6</f>
        <v>0</v>
      </c>
      <c r="C5" s="126"/>
      <c r="D5" s="607" t="s">
        <v>200</v>
      </c>
      <c r="E5" s="100">
        <f>Титульный!B7</f>
        <v>0</v>
      </c>
      <c r="J5" s="607" t="s">
        <v>199</v>
      </c>
      <c r="K5" s="1047">
        <f>B5</f>
        <v>0</v>
      </c>
      <c r="L5" s="126"/>
      <c r="M5" s="607" t="s">
        <v>200</v>
      </c>
      <c r="N5" s="100">
        <f>E5</f>
        <v>0</v>
      </c>
    </row>
    <row r="6" spans="1:14" ht="15.75">
      <c r="A6" s="607"/>
      <c r="B6" s="100"/>
      <c r="C6" s="126"/>
      <c r="D6" s="100"/>
      <c r="E6" s="372"/>
      <c r="J6" s="607"/>
      <c r="K6" s="100"/>
      <c r="L6" s="126"/>
      <c r="M6" s="100"/>
      <c r="N6" s="372"/>
    </row>
    <row r="7" spans="1:14" ht="40.5" customHeight="1">
      <c r="A7" s="1620" t="s">
        <v>1911</v>
      </c>
      <c r="B7" s="1620"/>
      <c r="C7" s="1620"/>
      <c r="D7" s="1620"/>
      <c r="E7" s="1620"/>
      <c r="J7" s="1620" t="s">
        <v>1911</v>
      </c>
      <c r="K7" s="1620"/>
      <c r="L7" s="1620"/>
      <c r="M7" s="1620"/>
      <c r="N7" s="1620"/>
    </row>
    <row r="8" spans="1:14">
      <c r="A8" s="372"/>
      <c r="B8" s="372"/>
      <c r="C8" s="372"/>
      <c r="D8" s="372"/>
      <c r="E8" s="372"/>
      <c r="J8" s="372"/>
      <c r="K8" s="372"/>
      <c r="L8" s="372"/>
      <c r="M8" s="372"/>
      <c r="N8" s="372"/>
    </row>
    <row r="9" spans="1:14" ht="15" customHeight="1">
      <c r="A9" s="1501" t="s">
        <v>183</v>
      </c>
      <c r="B9" s="1496" t="s">
        <v>308</v>
      </c>
      <c r="C9" s="1496" t="s">
        <v>413</v>
      </c>
      <c r="D9" s="610" t="s">
        <v>1129</v>
      </c>
      <c r="E9" s="1623" t="s">
        <v>459</v>
      </c>
      <c r="J9" s="1501" t="s">
        <v>183</v>
      </c>
      <c r="K9" s="1496" t="s">
        <v>308</v>
      </c>
      <c r="L9" s="1496" t="s">
        <v>413</v>
      </c>
      <c r="M9" s="610" t="s">
        <v>1129</v>
      </c>
      <c r="N9" s="1623" t="s">
        <v>459</v>
      </c>
    </row>
    <row r="10" spans="1:14" ht="31.5">
      <c r="A10" s="1503"/>
      <c r="B10" s="1496"/>
      <c r="C10" s="1496"/>
      <c r="D10" s="1105" t="s">
        <v>396</v>
      </c>
      <c r="E10" s="1452"/>
      <c r="J10" s="1503"/>
      <c r="K10" s="1496"/>
      <c r="L10" s="1496"/>
      <c r="M10" s="1105" t="s">
        <v>1596</v>
      </c>
      <c r="N10" s="1452"/>
    </row>
    <row r="11" spans="1:14" ht="15.75">
      <c r="A11" s="1099"/>
      <c r="B11" s="1098"/>
      <c r="C11" s="1098"/>
      <c r="D11" s="1105"/>
      <c r="E11" s="432"/>
      <c r="J11" s="1099"/>
      <c r="K11" s="1098"/>
      <c r="L11" s="1098"/>
      <c r="M11" s="1105"/>
      <c r="N11" s="432"/>
    </row>
    <row r="12" spans="1:14" ht="67.5" customHeight="1">
      <c r="A12" s="71" t="s">
        <v>387</v>
      </c>
      <c r="B12" s="611" t="s">
        <v>932</v>
      </c>
      <c r="C12" s="55" t="s">
        <v>246</v>
      </c>
      <c r="D12" s="855">
        <f>IF(Титульный!B17="2016-2018",'данные об организации'!I30,'данные об организации'!H30)</f>
        <v>0</v>
      </c>
      <c r="E12" s="1094" t="s">
        <v>1623</v>
      </c>
      <c r="J12" s="71" t="s">
        <v>387</v>
      </c>
      <c r="K12" s="611" t="s">
        <v>932</v>
      </c>
      <c r="L12" s="55" t="s">
        <v>246</v>
      </c>
      <c r="M12" s="855">
        <f>IF(Титульный!K17="2016-2018",'НВВ базовый расчет'!L54,'НВВ базовый расчет'!H54)</f>
        <v>0</v>
      </c>
      <c r="N12" s="1094" t="s">
        <v>1623</v>
      </c>
    </row>
    <row r="13" spans="1:14" ht="24.75" customHeight="1">
      <c r="A13" s="71" t="s">
        <v>311</v>
      </c>
      <c r="B13" s="611" t="s">
        <v>933</v>
      </c>
      <c r="C13" s="55" t="s">
        <v>420</v>
      </c>
      <c r="D13" s="435">
        <f>D14+D15</f>
        <v>0</v>
      </c>
      <c r="E13" s="433"/>
      <c r="J13" s="71" t="s">
        <v>311</v>
      </c>
      <c r="K13" s="611" t="s">
        <v>933</v>
      </c>
      <c r="L13" s="55" t="s">
        <v>420</v>
      </c>
      <c r="M13" s="435">
        <f>M14+M15</f>
        <v>0</v>
      </c>
      <c r="N13" s="433"/>
    </row>
    <row r="14" spans="1:14" ht="15.75">
      <c r="A14" s="71" t="s">
        <v>428</v>
      </c>
      <c r="B14" s="174" t="s">
        <v>612</v>
      </c>
      <c r="C14" s="55" t="s">
        <v>420</v>
      </c>
      <c r="D14" s="435">
        <f>ОР!D17</f>
        <v>0</v>
      </c>
      <c r="E14" s="433"/>
      <c r="J14" s="71" t="s">
        <v>428</v>
      </c>
      <c r="K14" s="174" t="s">
        <v>612</v>
      </c>
      <c r="L14" s="55" t="s">
        <v>420</v>
      </c>
      <c r="M14" s="435">
        <f>ОР!N17</f>
        <v>0</v>
      </c>
      <c r="N14" s="433"/>
    </row>
    <row r="15" spans="1:14" ht="15.75">
      <c r="A15" s="71" t="s">
        <v>431</v>
      </c>
      <c r="B15" s="174" t="s">
        <v>645</v>
      </c>
      <c r="C15" s="55" t="s">
        <v>420</v>
      </c>
      <c r="D15" s="435">
        <f>НРиА!C12</f>
        <v>0</v>
      </c>
      <c r="E15" s="433"/>
      <c r="J15" s="71" t="s">
        <v>431</v>
      </c>
      <c r="K15" s="174" t="s">
        <v>645</v>
      </c>
      <c r="L15" s="55" t="s">
        <v>420</v>
      </c>
      <c r="M15" s="435">
        <f>НРиА!E12</f>
        <v>0</v>
      </c>
      <c r="N15" s="433"/>
    </row>
    <row r="16" spans="1:14" ht="15.75">
      <c r="A16" s="71" t="s">
        <v>207</v>
      </c>
      <c r="B16" s="611" t="s">
        <v>954</v>
      </c>
      <c r="C16" s="55" t="s">
        <v>420</v>
      </c>
      <c r="D16" s="435">
        <f>РЭ!D64</f>
        <v>0</v>
      </c>
      <c r="E16" s="433"/>
      <c r="J16" s="71" t="s">
        <v>207</v>
      </c>
      <c r="K16" s="611" t="s">
        <v>954</v>
      </c>
      <c r="L16" s="55" t="s">
        <v>420</v>
      </c>
      <c r="M16" s="435">
        <f>РЭ!P32</f>
        <v>0</v>
      </c>
      <c r="N16" s="433"/>
    </row>
    <row r="17" spans="1:14" ht="15.75">
      <c r="A17" s="71" t="s">
        <v>212</v>
      </c>
      <c r="B17" s="611" t="s">
        <v>646</v>
      </c>
      <c r="C17" s="55" t="s">
        <v>420</v>
      </c>
      <c r="D17" s="435">
        <f>НРиА!C33</f>
        <v>0</v>
      </c>
      <c r="E17" s="433"/>
      <c r="J17" s="71" t="s">
        <v>212</v>
      </c>
      <c r="K17" s="611" t="s">
        <v>646</v>
      </c>
      <c r="L17" s="55" t="s">
        <v>420</v>
      </c>
      <c r="M17" s="435">
        <f>НРиА!E33</f>
        <v>0</v>
      </c>
      <c r="N17" s="433"/>
    </row>
    <row r="18" spans="1:14" s="366" customFormat="1" ht="23.25" customHeight="1">
      <c r="A18" s="425" t="s">
        <v>675</v>
      </c>
      <c r="B18" s="425" t="s">
        <v>647</v>
      </c>
      <c r="C18" s="425" t="s">
        <v>420</v>
      </c>
      <c r="D18" s="436">
        <f>IF((D13+D16+D17)=0,0,D12/100*(D13+D16+D17))</f>
        <v>0</v>
      </c>
      <c r="E18" s="1312"/>
      <c r="J18" s="425" t="s">
        <v>675</v>
      </c>
      <c r="K18" s="425" t="s">
        <v>647</v>
      </c>
      <c r="L18" s="425" t="s">
        <v>420</v>
      </c>
      <c r="M18" s="436">
        <f>IF((M13+M16+M17)=0,0,M12/100*(M13+M16+M17))</f>
        <v>0</v>
      </c>
      <c r="N18" s="1312"/>
    </row>
    <row r="19" spans="1:14" ht="15.75">
      <c r="A19" s="71"/>
      <c r="B19" s="1045" t="s">
        <v>1908</v>
      </c>
      <c r="C19" s="55"/>
      <c r="D19" s="1313"/>
      <c r="E19" s="433"/>
      <c r="J19" s="71"/>
      <c r="K19" s="1045" t="s">
        <v>1908</v>
      </c>
      <c r="L19" s="55"/>
      <c r="M19" s="1173"/>
      <c r="N19" s="433"/>
    </row>
    <row r="20" spans="1:14" ht="15.75">
      <c r="A20" s="71"/>
      <c r="B20" s="1045" t="s">
        <v>1909</v>
      </c>
      <c r="C20" s="55"/>
      <c r="D20" s="435">
        <f>D18-D19</f>
        <v>0</v>
      </c>
      <c r="E20" s="433"/>
      <c r="J20" s="71"/>
      <c r="K20" s="1045" t="s">
        <v>1909</v>
      </c>
      <c r="L20" s="55"/>
      <c r="M20" s="435">
        <f>M18-M19</f>
        <v>0</v>
      </c>
      <c r="N20" s="433"/>
    </row>
    <row r="23" spans="1:14" ht="44.25" customHeight="1">
      <c r="A23" s="1620" t="s">
        <v>1912</v>
      </c>
      <c r="B23" s="1620"/>
      <c r="C23" s="1620"/>
      <c r="D23" s="1620"/>
      <c r="E23" s="1620"/>
      <c r="J23" s="1620" t="s">
        <v>1912</v>
      </c>
      <c r="K23" s="1620"/>
      <c r="L23" s="1620"/>
      <c r="M23" s="1620"/>
      <c r="N23" s="1620"/>
    </row>
    <row r="24" spans="1:14">
      <c r="A24" s="372"/>
      <c r="B24" s="372"/>
      <c r="C24" s="372"/>
      <c r="D24" s="372"/>
      <c r="E24" s="372"/>
      <c r="J24" s="372"/>
      <c r="K24" s="372"/>
      <c r="L24" s="372"/>
      <c r="M24" s="372"/>
      <c r="N24" s="372"/>
    </row>
    <row r="25" spans="1:14">
      <c r="A25" s="1501" t="s">
        <v>183</v>
      </c>
      <c r="B25" s="1496" t="s">
        <v>308</v>
      </c>
      <c r="C25" s="1496" t="s">
        <v>413</v>
      </c>
      <c r="D25" s="610" t="s">
        <v>1129</v>
      </c>
      <c r="E25" s="1623" t="s">
        <v>459</v>
      </c>
      <c r="J25" s="1501" t="s">
        <v>183</v>
      </c>
      <c r="K25" s="1496" t="s">
        <v>308</v>
      </c>
      <c r="L25" s="1496" t="s">
        <v>413</v>
      </c>
      <c r="M25" s="610" t="s">
        <v>1129</v>
      </c>
      <c r="N25" s="1623" t="s">
        <v>459</v>
      </c>
    </row>
    <row r="26" spans="1:14" ht="31.5">
      <c r="A26" s="1503"/>
      <c r="B26" s="1496"/>
      <c r="C26" s="1496"/>
      <c r="D26" s="1105" t="s">
        <v>396</v>
      </c>
      <c r="E26" s="1452"/>
      <c r="J26" s="1503"/>
      <c r="K26" s="1496"/>
      <c r="L26" s="1496"/>
      <c r="M26" s="1105" t="s">
        <v>1596</v>
      </c>
      <c r="N26" s="1452"/>
    </row>
    <row r="27" spans="1:14" ht="15.75">
      <c r="A27" s="1099"/>
      <c r="B27" s="1098"/>
      <c r="C27" s="1098"/>
      <c r="D27" s="1105"/>
      <c r="E27" s="432"/>
      <c r="J27" s="1099"/>
      <c r="K27" s="1098"/>
      <c r="L27" s="1098"/>
      <c r="M27" s="1105"/>
      <c r="N27" s="432"/>
    </row>
    <row r="28" spans="1:14" ht="24">
      <c r="A28" s="331" t="s">
        <v>675</v>
      </c>
      <c r="B28" s="332" t="s">
        <v>647</v>
      </c>
      <c r="C28" s="1098" t="s">
        <v>420</v>
      </c>
      <c r="D28" s="854">
        <f>D29+D30+D31</f>
        <v>0</v>
      </c>
      <c r="E28" s="1094" t="s">
        <v>1131</v>
      </c>
      <c r="J28" s="331" t="s">
        <v>675</v>
      </c>
      <c r="K28" s="332" t="s">
        <v>647</v>
      </c>
      <c r="L28" s="1098" t="s">
        <v>420</v>
      </c>
      <c r="M28" s="854">
        <f>M29+M30+M31</f>
        <v>0</v>
      </c>
      <c r="N28" s="1094" t="s">
        <v>1131</v>
      </c>
    </row>
    <row r="29" spans="1:14" ht="31.5">
      <c r="A29" s="71" t="s">
        <v>387</v>
      </c>
      <c r="B29" s="611" t="s">
        <v>676</v>
      </c>
      <c r="C29" s="55" t="s">
        <v>420</v>
      </c>
      <c r="D29" s="226"/>
      <c r="E29" s="1094"/>
      <c r="J29" s="71" t="s">
        <v>387</v>
      </c>
      <c r="K29" s="611" t="s">
        <v>676</v>
      </c>
      <c r="L29" s="55" t="s">
        <v>420</v>
      </c>
      <c r="M29" s="109"/>
      <c r="N29" s="1094"/>
    </row>
    <row r="30" spans="1:14" ht="31.5">
      <c r="A30" s="71" t="s">
        <v>311</v>
      </c>
      <c r="B30" s="611" t="s">
        <v>677</v>
      </c>
      <c r="C30" s="55" t="s">
        <v>420</v>
      </c>
      <c r="D30" s="226"/>
      <c r="E30" s="1094"/>
      <c r="J30" s="71" t="s">
        <v>311</v>
      </c>
      <c r="K30" s="611" t="s">
        <v>677</v>
      </c>
      <c r="L30" s="55" t="s">
        <v>420</v>
      </c>
      <c r="M30" s="109"/>
      <c r="N30" s="1094"/>
    </row>
    <row r="31" spans="1:14" ht="31.5">
      <c r="A31" s="71" t="s">
        <v>207</v>
      </c>
      <c r="B31" s="611" t="s">
        <v>1068</v>
      </c>
      <c r="C31" s="55" t="s">
        <v>420</v>
      </c>
      <c r="D31" s="226"/>
      <c r="E31" s="1094"/>
      <c r="J31" s="71" t="s">
        <v>207</v>
      </c>
      <c r="K31" s="611" t="s">
        <v>1068</v>
      </c>
      <c r="L31" s="55" t="s">
        <v>420</v>
      </c>
      <c r="M31" s="109"/>
      <c r="N31" s="1094"/>
    </row>
    <row r="32" spans="1:14" ht="15.75">
      <c r="A32" s="71" t="s">
        <v>212</v>
      </c>
      <c r="B32" s="611" t="s">
        <v>933</v>
      </c>
      <c r="C32" s="55" t="s">
        <v>420</v>
      </c>
      <c r="D32" s="435">
        <f>D33+D34</f>
        <v>0</v>
      </c>
      <c r="E32" s="433"/>
      <c r="J32" s="71" t="s">
        <v>212</v>
      </c>
      <c r="K32" s="611" t="s">
        <v>933</v>
      </c>
      <c r="L32" s="55" t="s">
        <v>420</v>
      </c>
      <c r="M32" s="435">
        <f>M33+M34</f>
        <v>0</v>
      </c>
      <c r="N32" s="433"/>
    </row>
    <row r="33" spans="1:14" ht="15.75">
      <c r="A33" s="71" t="s">
        <v>213</v>
      </c>
      <c r="B33" s="174" t="s">
        <v>612</v>
      </c>
      <c r="C33" s="55" t="s">
        <v>420</v>
      </c>
      <c r="D33" s="435">
        <f>ОР!D17</f>
        <v>0</v>
      </c>
      <c r="E33" s="433"/>
      <c r="J33" s="71" t="s">
        <v>213</v>
      </c>
      <c r="K33" s="174" t="s">
        <v>612</v>
      </c>
      <c r="L33" s="55" t="s">
        <v>420</v>
      </c>
      <c r="M33" s="435">
        <f>ОР!N17</f>
        <v>0</v>
      </c>
      <c r="N33" s="433"/>
    </row>
    <row r="34" spans="1:14" ht="15.75">
      <c r="A34" s="71" t="s">
        <v>214</v>
      </c>
      <c r="B34" s="174" t="s">
        <v>645</v>
      </c>
      <c r="C34" s="55" t="s">
        <v>420</v>
      </c>
      <c r="D34" s="435">
        <f>НРиА!C12</f>
        <v>0</v>
      </c>
      <c r="E34" s="433"/>
      <c r="J34" s="71" t="s">
        <v>214</v>
      </c>
      <c r="K34" s="174" t="s">
        <v>645</v>
      </c>
      <c r="L34" s="55" t="s">
        <v>420</v>
      </c>
      <c r="M34" s="435">
        <f>НРиА!E12</f>
        <v>0</v>
      </c>
      <c r="N34" s="433"/>
    </row>
    <row r="35" spans="1:14" ht="15.75">
      <c r="A35" s="71" t="s">
        <v>324</v>
      </c>
      <c r="B35" s="611" t="s">
        <v>954</v>
      </c>
      <c r="C35" s="55" t="s">
        <v>420</v>
      </c>
      <c r="D35" s="435">
        <f>РЭ!D64</f>
        <v>0</v>
      </c>
      <c r="E35" s="433"/>
      <c r="J35" s="71" t="s">
        <v>324</v>
      </c>
      <c r="K35" s="611" t="s">
        <v>954</v>
      </c>
      <c r="L35" s="55" t="s">
        <v>420</v>
      </c>
      <c r="M35" s="435">
        <f>РЭ!P32</f>
        <v>0</v>
      </c>
      <c r="N35" s="433"/>
    </row>
    <row r="36" spans="1:14" ht="15.75">
      <c r="A36" s="71" t="s">
        <v>317</v>
      </c>
      <c r="B36" s="611" t="s">
        <v>646</v>
      </c>
      <c r="C36" s="55" t="s">
        <v>420</v>
      </c>
      <c r="D36" s="435">
        <f>НРиА!C33</f>
        <v>0</v>
      </c>
      <c r="E36" s="433"/>
      <c r="J36" s="71" t="s">
        <v>317</v>
      </c>
      <c r="K36" s="611" t="s">
        <v>646</v>
      </c>
      <c r="L36" s="55" t="s">
        <v>420</v>
      </c>
      <c r="M36" s="435">
        <f>НРиА!E33</f>
        <v>0</v>
      </c>
      <c r="N36" s="433"/>
    </row>
    <row r="37" spans="1:14" ht="15.75">
      <c r="A37" s="428" t="s">
        <v>328</v>
      </c>
      <c r="B37" s="428" t="s">
        <v>932</v>
      </c>
      <c r="C37" s="428" t="s">
        <v>420</v>
      </c>
      <c r="D37" s="437">
        <f>IF((D32+D36+D35)=0,0,D28/(D32+D35+D36)*100)</f>
        <v>0</v>
      </c>
      <c r="E37" s="434"/>
      <c r="J37" s="428" t="s">
        <v>328</v>
      </c>
      <c r="K37" s="428" t="s">
        <v>932</v>
      </c>
      <c r="L37" s="428" t="s">
        <v>420</v>
      </c>
      <c r="M37" s="437">
        <f>IF((M32+M36+M35)=0,0,M28/(M32+M35+M36)*100)</f>
        <v>0</v>
      </c>
      <c r="N37" s="434"/>
    </row>
    <row r="40" spans="1:14" ht="44.25" customHeight="1">
      <c r="A40" s="1620" t="s">
        <v>1913</v>
      </c>
      <c r="B40" s="1620"/>
      <c r="C40" s="1620"/>
      <c r="D40" s="1620"/>
      <c r="E40" s="1620"/>
      <c r="J40" s="1620" t="s">
        <v>1913</v>
      </c>
      <c r="K40" s="1620"/>
      <c r="L40" s="1620"/>
      <c r="M40" s="1620"/>
      <c r="N40" s="1620"/>
    </row>
    <row r="41" spans="1:14">
      <c r="J41" s="372"/>
      <c r="K41" s="372"/>
      <c r="L41" s="372"/>
      <c r="M41" s="372"/>
      <c r="N41" s="372"/>
    </row>
    <row r="42" spans="1:14">
      <c r="A42" s="1501" t="s">
        <v>183</v>
      </c>
      <c r="B42" s="1496" t="s">
        <v>308</v>
      </c>
      <c r="C42" s="1496" t="s">
        <v>413</v>
      </c>
      <c r="D42" s="610" t="s">
        <v>1129</v>
      </c>
      <c r="E42" s="1624" t="s">
        <v>459</v>
      </c>
      <c r="J42" s="1501" t="s">
        <v>183</v>
      </c>
      <c r="K42" s="1496" t="s">
        <v>308</v>
      </c>
      <c r="L42" s="1496" t="s">
        <v>413</v>
      </c>
      <c r="M42" s="610" t="s">
        <v>1129</v>
      </c>
      <c r="N42" s="1623" t="s">
        <v>459</v>
      </c>
    </row>
    <row r="43" spans="1:14" ht="31.5">
      <c r="A43" s="1503"/>
      <c r="B43" s="1496"/>
      <c r="C43" s="1496"/>
      <c r="D43" s="1105" t="s">
        <v>396</v>
      </c>
      <c r="E43" s="1625"/>
      <c r="J43" s="1503"/>
      <c r="K43" s="1496"/>
      <c r="L43" s="1496"/>
      <c r="M43" s="1105" t="s">
        <v>1596</v>
      </c>
      <c r="N43" s="1452"/>
    </row>
    <row r="44" spans="1:14" ht="15.75">
      <c r="A44" s="1099"/>
      <c r="B44" s="1098"/>
      <c r="C44" s="1098"/>
      <c r="D44" s="1105"/>
      <c r="E44" s="432"/>
      <c r="J44" s="1099"/>
      <c r="K44" s="1098"/>
      <c r="L44" s="1098"/>
      <c r="M44" s="1105"/>
      <c r="N44" s="432"/>
    </row>
    <row r="45" spans="1:14" ht="15.75">
      <c r="A45" s="331" t="s">
        <v>675</v>
      </c>
      <c r="B45" s="332" t="s">
        <v>647</v>
      </c>
      <c r="C45" s="1098" t="s">
        <v>420</v>
      </c>
      <c r="D45" s="854">
        <f>D46</f>
        <v>0</v>
      </c>
      <c r="E45" s="1094"/>
      <c r="J45" s="331" t="s">
        <v>675</v>
      </c>
      <c r="K45" s="332" t="s">
        <v>647</v>
      </c>
      <c r="L45" s="1098" t="s">
        <v>420</v>
      </c>
      <c r="M45" s="854">
        <f>M46</f>
        <v>0</v>
      </c>
      <c r="N45" s="1094"/>
    </row>
    <row r="46" spans="1:14" ht="31.5">
      <c r="A46" s="71" t="s">
        <v>311</v>
      </c>
      <c r="B46" s="611" t="s">
        <v>677</v>
      </c>
      <c r="C46" s="55" t="s">
        <v>420</v>
      </c>
      <c r="D46" s="226"/>
      <c r="E46" s="1094" t="s">
        <v>1910</v>
      </c>
      <c r="J46" s="71" t="s">
        <v>311</v>
      </c>
      <c r="K46" s="611" t="s">
        <v>677</v>
      </c>
      <c r="L46" s="55" t="s">
        <v>420</v>
      </c>
      <c r="M46" s="226"/>
      <c r="N46" s="1094" t="s">
        <v>1910</v>
      </c>
    </row>
    <row r="47" spans="1:14" ht="15.75">
      <c r="A47" s="71" t="s">
        <v>212</v>
      </c>
      <c r="B47" s="611" t="s">
        <v>933</v>
      </c>
      <c r="C47" s="55" t="s">
        <v>420</v>
      </c>
      <c r="D47" s="435">
        <f>D48+D49</f>
        <v>0</v>
      </c>
      <c r="E47" s="433"/>
      <c r="J47" s="71" t="s">
        <v>212</v>
      </c>
      <c r="K47" s="611" t="s">
        <v>933</v>
      </c>
      <c r="L47" s="55" t="s">
        <v>420</v>
      </c>
      <c r="M47" s="435">
        <f>M48+M49</f>
        <v>0</v>
      </c>
      <c r="N47" s="433"/>
    </row>
    <row r="48" spans="1:14" ht="15.75">
      <c r="A48" s="71" t="s">
        <v>213</v>
      </c>
      <c r="B48" s="174" t="s">
        <v>612</v>
      </c>
      <c r="C48" s="55" t="s">
        <v>420</v>
      </c>
      <c r="D48" s="435">
        <f>ОР!D17</f>
        <v>0</v>
      </c>
      <c r="E48" s="433"/>
      <c r="J48" s="71" t="s">
        <v>213</v>
      </c>
      <c r="K48" s="174" t="s">
        <v>612</v>
      </c>
      <c r="L48" s="55" t="s">
        <v>420</v>
      </c>
      <c r="M48" s="435">
        <f>ОР!N17</f>
        <v>0</v>
      </c>
      <c r="N48" s="433"/>
    </row>
    <row r="49" spans="1:14" ht="15.75">
      <c r="A49" s="71" t="s">
        <v>214</v>
      </c>
      <c r="B49" s="174" t="s">
        <v>645</v>
      </c>
      <c r="C49" s="55" t="s">
        <v>420</v>
      </c>
      <c r="D49" s="435">
        <f>НРиА!C12</f>
        <v>0</v>
      </c>
      <c r="E49" s="433"/>
      <c r="J49" s="71" t="s">
        <v>214</v>
      </c>
      <c r="K49" s="174" t="s">
        <v>645</v>
      </c>
      <c r="L49" s="55" t="s">
        <v>420</v>
      </c>
      <c r="M49" s="435">
        <f>НРиА!K12</f>
        <v>0</v>
      </c>
      <c r="N49" s="433"/>
    </row>
    <row r="50" spans="1:14" ht="15.75">
      <c r="A50" s="71" t="s">
        <v>324</v>
      </c>
      <c r="B50" s="611" t="s">
        <v>954</v>
      </c>
      <c r="C50" s="55" t="s">
        <v>420</v>
      </c>
      <c r="D50" s="435">
        <f>РЭ!D64</f>
        <v>0</v>
      </c>
      <c r="E50" s="433"/>
      <c r="J50" s="71" t="s">
        <v>324</v>
      </c>
      <c r="K50" s="611" t="s">
        <v>954</v>
      </c>
      <c r="L50" s="55" t="s">
        <v>420</v>
      </c>
      <c r="M50" s="435">
        <f>РЭ!M64</f>
        <v>0</v>
      </c>
      <c r="N50" s="433"/>
    </row>
    <row r="51" spans="1:14" ht="15.75">
      <c r="A51" s="71" t="s">
        <v>317</v>
      </c>
      <c r="B51" s="611" t="s">
        <v>646</v>
      </c>
      <c r="C51" s="55" t="s">
        <v>420</v>
      </c>
      <c r="D51" s="435">
        <f>НРиА!C33</f>
        <v>0</v>
      </c>
      <c r="E51" s="433"/>
      <c r="J51" s="71" t="s">
        <v>317</v>
      </c>
      <c r="K51" s="611" t="s">
        <v>646</v>
      </c>
      <c r="L51" s="55" t="s">
        <v>420</v>
      </c>
      <c r="M51" s="435">
        <f>НРиА!K33</f>
        <v>0</v>
      </c>
      <c r="N51" s="433"/>
    </row>
    <row r="52" spans="1:14" ht="15.75">
      <c r="A52" s="428" t="s">
        <v>328</v>
      </c>
      <c r="B52" s="428" t="s">
        <v>932</v>
      </c>
      <c r="C52" s="428" t="s">
        <v>420</v>
      </c>
      <c r="D52" s="437">
        <f>IF((D47+D51+D50)=0,0,D45/(D47+D50+D51)*100)</f>
        <v>0</v>
      </c>
      <c r="E52" s="434"/>
      <c r="J52" s="428" t="s">
        <v>328</v>
      </c>
      <c r="K52" s="428" t="s">
        <v>932</v>
      </c>
      <c r="L52" s="428" t="s">
        <v>420</v>
      </c>
      <c r="M52" s="437">
        <f>IF((M47+M51+M50)=0,0,M45/(M47+M50+M51)*100)</f>
        <v>0</v>
      </c>
      <c r="N52" s="434"/>
    </row>
    <row r="54" spans="1:14" ht="31.5">
      <c r="A54" s="428" t="s">
        <v>570</v>
      </c>
      <c r="B54" s="428" t="s">
        <v>1914</v>
      </c>
      <c r="C54" s="428" t="s">
        <v>420</v>
      </c>
      <c r="D54" s="1314"/>
      <c r="E54" s="1046" t="s">
        <v>1915</v>
      </c>
      <c r="J54" s="428" t="s">
        <v>570</v>
      </c>
      <c r="K54" s="428" t="s">
        <v>1914</v>
      </c>
      <c r="L54" s="428" t="s">
        <v>420</v>
      </c>
      <c r="M54" s="1314"/>
      <c r="N54" s="1046" t="s">
        <v>1915</v>
      </c>
    </row>
  </sheetData>
  <sheetProtection password="F66E" sheet="1" objects="1" scenarios="1" formatCells="0" formatColumns="0" formatRows="0"/>
  <mergeCells count="36">
    <mergeCell ref="N25:N26"/>
    <mergeCell ref="N42:N43"/>
    <mergeCell ref="A7:E7"/>
    <mergeCell ref="A23:E23"/>
    <mergeCell ref="J40:N40"/>
    <mergeCell ref="A25:A26"/>
    <mergeCell ref="B25:B26"/>
    <mergeCell ref="C25:C26"/>
    <mergeCell ref="A9:A10"/>
    <mergeCell ref="B9:B10"/>
    <mergeCell ref="C9:C10"/>
    <mergeCell ref="L9:L10"/>
    <mergeCell ref="J23:N23"/>
    <mergeCell ref="J25:J26"/>
    <mergeCell ref="K25:K26"/>
    <mergeCell ref="L25:L26"/>
    <mergeCell ref="E25:E26"/>
    <mergeCell ref="J42:J43"/>
    <mergeCell ref="K42:K43"/>
    <mergeCell ref="L42:L43"/>
    <mergeCell ref="A40:E40"/>
    <mergeCell ref="A42:A43"/>
    <mergeCell ref="B42:B43"/>
    <mergeCell ref="C42:C43"/>
    <mergeCell ref="E42:E43"/>
    <mergeCell ref="J7:N7"/>
    <mergeCell ref="J9:J10"/>
    <mergeCell ref="K9:K10"/>
    <mergeCell ref="A1:E1"/>
    <mergeCell ref="A2:E2"/>
    <mergeCell ref="A3:E3"/>
    <mergeCell ref="J1:N1"/>
    <mergeCell ref="J2:N2"/>
    <mergeCell ref="J3:M3"/>
    <mergeCell ref="N9:N10"/>
    <mergeCell ref="E9:E10"/>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F0"/>
    <pageSetUpPr fitToPage="1"/>
  </sheetPr>
  <dimension ref="A1:I60"/>
  <sheetViews>
    <sheetView zoomScaleNormal="100" workbookViewId="0">
      <selection sqref="A1:C1"/>
    </sheetView>
  </sheetViews>
  <sheetFormatPr defaultRowHeight="15.75"/>
  <cols>
    <col min="1" max="1" width="9.140625" style="417"/>
    <col min="2" max="2" width="71.7109375" style="417" customWidth="1"/>
    <col min="3" max="3" width="37.85546875" style="417" customWidth="1"/>
    <col min="4" max="4" width="18.5703125" style="417" hidden="1" customWidth="1"/>
    <col min="5" max="6" width="17.42578125" style="417" hidden="1" customWidth="1"/>
    <col min="7" max="7" width="16.28515625" style="417" hidden="1" customWidth="1"/>
    <col min="8" max="16384" width="9.140625" style="417"/>
  </cols>
  <sheetData>
    <row r="1" spans="1:9" ht="42" customHeight="1">
      <c r="A1" s="1626" t="s">
        <v>1130</v>
      </c>
      <c r="B1" s="1626"/>
      <c r="C1" s="1626"/>
      <c r="D1" s="234"/>
      <c r="E1" s="234"/>
      <c r="F1" s="234"/>
      <c r="G1" s="234"/>
    </row>
    <row r="2" spans="1:9">
      <c r="A2" s="234"/>
      <c r="B2" s="234"/>
      <c r="C2" s="234"/>
      <c r="D2" s="234"/>
      <c r="E2" s="234"/>
      <c r="F2" s="234"/>
      <c r="G2" s="234"/>
    </row>
    <row r="3" spans="1:9">
      <c r="A3" s="1621" t="str">
        <f>Титульный!B10</f>
        <v xml:space="preserve"> </v>
      </c>
      <c r="B3" s="1621"/>
      <c r="C3" s="1621"/>
      <c r="D3" s="234"/>
      <c r="E3" s="234"/>
      <c r="F3" s="234"/>
      <c r="G3" s="234"/>
    </row>
    <row r="4" spans="1:9">
      <c r="A4" s="1622" t="str">
        <f>Титульный!B21</f>
        <v/>
      </c>
      <c r="B4" s="1622"/>
      <c r="C4" s="1622"/>
      <c r="D4" s="234"/>
      <c r="E4" s="234"/>
      <c r="F4" s="234"/>
      <c r="G4" s="234"/>
    </row>
    <row r="5" spans="1:9">
      <c r="A5" s="126"/>
      <c r="B5" s="126"/>
      <c r="C5" s="126"/>
      <c r="D5" s="234"/>
      <c r="E5" s="234"/>
      <c r="F5" s="234"/>
      <c r="G5" s="234"/>
    </row>
    <row r="6" spans="1:9">
      <c r="A6" s="607" t="s">
        <v>199</v>
      </c>
      <c r="B6" s="100">
        <f>Титульный!B6</f>
        <v>0</v>
      </c>
      <c r="C6" s="126"/>
      <c r="D6" s="234"/>
      <c r="E6" s="234"/>
      <c r="F6" s="234"/>
      <c r="G6" s="234"/>
    </row>
    <row r="7" spans="1:9">
      <c r="A7" s="98" t="s">
        <v>200</v>
      </c>
      <c r="B7" s="100">
        <f>Титульный!B7</f>
        <v>0</v>
      </c>
      <c r="C7" s="126"/>
      <c r="D7" s="234"/>
      <c r="E7" s="234"/>
      <c r="F7" s="234"/>
      <c r="G7" s="234"/>
    </row>
    <row r="8" spans="1:9">
      <c r="A8" s="234"/>
      <c r="B8" s="234"/>
      <c r="C8" s="450" t="s">
        <v>588</v>
      </c>
      <c r="D8" s="234"/>
      <c r="E8" s="234"/>
      <c r="F8" s="234"/>
      <c r="G8" s="234"/>
    </row>
    <row r="9" spans="1:9">
      <c r="A9" s="1501" t="s">
        <v>183</v>
      </c>
      <c r="B9" s="1501" t="s">
        <v>308</v>
      </c>
      <c r="C9" s="1543" t="s">
        <v>1129</v>
      </c>
      <c r="D9" s="1543"/>
      <c r="E9" s="1543"/>
      <c r="F9" s="1543"/>
      <c r="G9" s="1543"/>
      <c r="H9" s="449"/>
      <c r="I9" s="449"/>
    </row>
    <row r="10" spans="1:9" ht="76.5" customHeight="1">
      <c r="A10" s="1503"/>
      <c r="B10" s="1503"/>
      <c r="C10" s="1105" t="s">
        <v>290</v>
      </c>
      <c r="D10" s="1105" t="s">
        <v>641</v>
      </c>
      <c r="E10" s="1105" t="s">
        <v>545</v>
      </c>
      <c r="F10" s="1627" t="s">
        <v>955</v>
      </c>
      <c r="G10" s="1627"/>
      <c r="H10" s="449"/>
      <c r="I10" s="449"/>
    </row>
    <row r="11" spans="1:9" ht="24" customHeight="1">
      <c r="A11" s="451" t="s">
        <v>611</v>
      </c>
      <c r="B11" s="426" t="s">
        <v>612</v>
      </c>
      <c r="C11" s="427">
        <f>ОР!D17</f>
        <v>0</v>
      </c>
      <c r="D11" s="427">
        <f>IF(Титульный!$B$17="2016-2018",'НВВ базовый расчет'!L9,'НВВ базовый расчет'!H9)</f>
        <v>0</v>
      </c>
      <c r="E11" s="427">
        <f>ОР!N17</f>
        <v>0</v>
      </c>
      <c r="F11" s="427">
        <f>E11-D11</f>
        <v>0</v>
      </c>
      <c r="G11" s="427">
        <f>IF(D11=0,0,E11/D11)</f>
        <v>0</v>
      </c>
      <c r="H11" s="449"/>
      <c r="I11" s="449"/>
    </row>
    <row r="12" spans="1:9" ht="15.75" customHeight="1">
      <c r="A12" s="374" t="s">
        <v>222</v>
      </c>
      <c r="B12" s="375" t="s">
        <v>613</v>
      </c>
      <c r="C12" s="452">
        <f>IF(Титульный!$B$17="2016-2018",'данные об организации'!I28*1000,'данные об организации'!G28*1000)</f>
        <v>0</v>
      </c>
      <c r="D12" s="452">
        <f>IF(Титульный!$B$17="2016-2018",'НВВ базовый расчет'!L10,'НВВ базовый расчет'!H10)</f>
        <v>0</v>
      </c>
      <c r="E12" s="452">
        <f>'НВВ базовый расчет'!D10</f>
        <v>0</v>
      </c>
      <c r="F12" s="452">
        <f>E12-D12</f>
        <v>0</v>
      </c>
      <c r="G12" s="452">
        <f>IF(D12=0,0,E12/D12)</f>
        <v>0</v>
      </c>
    </row>
    <row r="13" spans="1:9" ht="15.75" customHeight="1">
      <c r="A13" s="870" t="s">
        <v>228</v>
      </c>
      <c r="B13" s="1051" t="s">
        <v>1920</v>
      </c>
      <c r="C13" s="452">
        <f>IF(Титульный!$B$17="2016-2018",ОР!D10,C12)</f>
        <v>0</v>
      </c>
      <c r="D13" s="452">
        <f>IF(Титульный!$B$17="2016-2018",НВВ2017!E11,D12)</f>
        <v>0</v>
      </c>
      <c r="E13" s="1052">
        <f>ОР!N10</f>
        <v>0</v>
      </c>
      <c r="F13" s="1052"/>
      <c r="G13" s="1052"/>
    </row>
    <row r="14" spans="1:9">
      <c r="A14" s="377" t="s">
        <v>230</v>
      </c>
      <c r="B14" s="375" t="s">
        <v>638</v>
      </c>
      <c r="C14" s="452">
        <f>ОР!D11</f>
        <v>1</v>
      </c>
      <c r="D14" s="431">
        <f>IF(Титульный!$B$17="2016-2018",'НВВ базовый расчет'!L24,'НВВ базовый расчет'!H24)</f>
        <v>0</v>
      </c>
      <c r="E14" s="1052">
        <f>ОР!N11</f>
        <v>1</v>
      </c>
      <c r="F14" s="431">
        <f t="shared" ref="F14:F40" si="0">E14-D14</f>
        <v>1</v>
      </c>
      <c r="G14" s="431">
        <f t="shared" ref="G14:G40" si="1">IF(D14=0,0,E14/D14)</f>
        <v>0</v>
      </c>
    </row>
    <row r="15" spans="1:9">
      <c r="A15" s="377" t="s">
        <v>238</v>
      </c>
      <c r="B15" s="375" t="s">
        <v>639</v>
      </c>
      <c r="C15" s="452">
        <f>ОР!D12</f>
        <v>0</v>
      </c>
      <c r="D15" s="431">
        <f>IF(Титульный!$B$17="2016-2018",'НВВ базовый расчет'!L25,'НВВ базовый расчет'!H25)</f>
        <v>0</v>
      </c>
      <c r="E15" s="1052">
        <f>ОР!N12</f>
        <v>0</v>
      </c>
      <c r="F15" s="431">
        <f t="shared" si="0"/>
        <v>0</v>
      </c>
      <c r="G15" s="431">
        <f t="shared" si="1"/>
        <v>0</v>
      </c>
    </row>
    <row r="16" spans="1:9">
      <c r="A16" s="377" t="s">
        <v>241</v>
      </c>
      <c r="B16" s="375" t="s">
        <v>640</v>
      </c>
      <c r="C16" s="452">
        <f>ОР!D13</f>
        <v>0</v>
      </c>
      <c r="D16" s="431">
        <f>IF(Титульный!$B$17="2016-2018",'НВВ базовый расчет'!L26,'НВВ базовый расчет'!H26)</f>
        <v>0</v>
      </c>
      <c r="E16" s="1052">
        <f>ОР!N13</f>
        <v>0</v>
      </c>
      <c r="F16" s="431">
        <f t="shared" si="0"/>
        <v>0</v>
      </c>
      <c r="G16" s="431">
        <f t="shared" si="1"/>
        <v>0</v>
      </c>
    </row>
    <row r="17" spans="1:7">
      <c r="A17" s="451" t="s">
        <v>650</v>
      </c>
      <c r="B17" s="426" t="s">
        <v>644</v>
      </c>
      <c r="C17" s="427">
        <f>РЭ!D64</f>
        <v>0</v>
      </c>
      <c r="D17" s="427">
        <f>IF(Титульный!$B$17="2016-2018",'НВВ базовый расчет'!L27,'НВВ базовый расчет'!H27)</f>
        <v>0</v>
      </c>
      <c r="E17" s="427">
        <f>РЭ!P32</f>
        <v>0</v>
      </c>
      <c r="F17" s="427">
        <f t="shared" si="0"/>
        <v>0</v>
      </c>
      <c r="G17" s="427">
        <f t="shared" si="1"/>
        <v>0</v>
      </c>
    </row>
    <row r="18" spans="1:7">
      <c r="A18" s="451" t="s">
        <v>651</v>
      </c>
      <c r="B18" s="426" t="s">
        <v>645</v>
      </c>
      <c r="C18" s="427">
        <f>C19+C25+C33+C34+C35+C36+C37+C38</f>
        <v>0</v>
      </c>
      <c r="D18" s="427">
        <f t="shared" ref="D18:E18" si="2">D19+D25+D33+D34+D35+D36+D37+D38</f>
        <v>0</v>
      </c>
      <c r="E18" s="427">
        <f t="shared" si="2"/>
        <v>0</v>
      </c>
      <c r="F18" s="427">
        <f t="shared" si="0"/>
        <v>0</v>
      </c>
      <c r="G18" s="427">
        <f t="shared" si="1"/>
        <v>0</v>
      </c>
    </row>
    <row r="19" spans="1:7" ht="31.5">
      <c r="A19" s="378" t="s">
        <v>241</v>
      </c>
      <c r="B19" s="379" t="s">
        <v>652</v>
      </c>
      <c r="C19" s="429">
        <f t="shared" ref="C19:E19" si="3">SUM(C20:C24)</f>
        <v>0</v>
      </c>
      <c r="D19" s="429">
        <f>IF(Титульный!$B$17="2016-2018",'НВВ базовый расчет'!L29,'НВВ базовый расчет'!H29)</f>
        <v>0</v>
      </c>
      <c r="E19" s="429">
        <f t="shared" si="3"/>
        <v>0</v>
      </c>
      <c r="F19" s="429">
        <f t="shared" si="0"/>
        <v>0</v>
      </c>
      <c r="G19" s="429">
        <f t="shared" si="1"/>
        <v>0</v>
      </c>
    </row>
    <row r="20" spans="1:7">
      <c r="A20" s="377" t="s">
        <v>516</v>
      </c>
      <c r="B20" s="375" t="s">
        <v>653</v>
      </c>
      <c r="C20" s="431">
        <f>НРиА!C14</f>
        <v>0</v>
      </c>
      <c r="D20" s="431">
        <f>IF(Титульный!$B$17="2016-2018",'НВВ базовый расчет'!L30,'НВВ базовый расчет'!H30)</f>
        <v>0</v>
      </c>
      <c r="E20" s="431">
        <f>НРиА!E14</f>
        <v>0</v>
      </c>
      <c r="F20" s="431">
        <f t="shared" si="0"/>
        <v>0</v>
      </c>
      <c r="G20" s="431">
        <f t="shared" si="1"/>
        <v>0</v>
      </c>
    </row>
    <row r="21" spans="1:7">
      <c r="A21" s="377" t="s">
        <v>517</v>
      </c>
      <c r="B21" s="375" t="s">
        <v>654</v>
      </c>
      <c r="C21" s="431">
        <f>НРиА!C15</f>
        <v>0</v>
      </c>
      <c r="D21" s="431">
        <f>IF(Титульный!$B$17="2016-2018",'НВВ базовый расчет'!L31,'НВВ базовый расчет'!H31)</f>
        <v>0</v>
      </c>
      <c r="E21" s="431">
        <f>НРиА!E15</f>
        <v>0</v>
      </c>
      <c r="F21" s="431">
        <f t="shared" si="0"/>
        <v>0</v>
      </c>
      <c r="G21" s="431">
        <f t="shared" si="1"/>
        <v>0</v>
      </c>
    </row>
    <row r="22" spans="1:7">
      <c r="A22" s="377" t="s">
        <v>655</v>
      </c>
      <c r="B22" s="375" t="s">
        <v>656</v>
      </c>
      <c r="C22" s="431">
        <f>НРиА!C16</f>
        <v>0</v>
      </c>
      <c r="D22" s="431">
        <f>IF(Титульный!$B$17="2016-2018",'НВВ базовый расчет'!L32,'НВВ базовый расчет'!H32)</f>
        <v>0</v>
      </c>
      <c r="E22" s="431">
        <f>НРиА!E16</f>
        <v>0</v>
      </c>
      <c r="F22" s="431">
        <f t="shared" si="0"/>
        <v>0</v>
      </c>
      <c r="G22" s="431">
        <f t="shared" si="1"/>
        <v>0</v>
      </c>
    </row>
    <row r="23" spans="1:7">
      <c r="A23" s="377" t="s">
        <v>657</v>
      </c>
      <c r="B23" s="375" t="s">
        <v>658</v>
      </c>
      <c r="C23" s="431">
        <f>НРиА!C17</f>
        <v>0</v>
      </c>
      <c r="D23" s="431">
        <f>IF(Титульный!$B$17="2016-2018",'НВВ базовый расчет'!L33,'НВВ базовый расчет'!H33)</f>
        <v>0</v>
      </c>
      <c r="E23" s="431">
        <f>НРиА!E17</f>
        <v>0</v>
      </c>
      <c r="F23" s="431">
        <f t="shared" si="0"/>
        <v>0</v>
      </c>
      <c r="G23" s="431">
        <f t="shared" si="1"/>
        <v>0</v>
      </c>
    </row>
    <row r="24" spans="1:7">
      <c r="A24" s="377" t="s">
        <v>659</v>
      </c>
      <c r="B24" s="375" t="s">
        <v>660</v>
      </c>
      <c r="C24" s="431">
        <f>НРиА!C18</f>
        <v>0</v>
      </c>
      <c r="D24" s="431">
        <f>IF(Титульный!$B$17="2016-2018",'НВВ базовый расчет'!L34,'НВВ базовый расчет'!H34)</f>
        <v>0</v>
      </c>
      <c r="E24" s="431">
        <f>НРиА!E18</f>
        <v>0</v>
      </c>
      <c r="F24" s="431">
        <f t="shared" si="0"/>
        <v>0</v>
      </c>
      <c r="G24" s="431">
        <f t="shared" si="1"/>
        <v>0</v>
      </c>
    </row>
    <row r="25" spans="1:7">
      <c r="A25" s="428" t="s">
        <v>207</v>
      </c>
      <c r="B25" s="379" t="s">
        <v>507</v>
      </c>
      <c r="C25" s="429">
        <f t="shared" ref="C25:E25" si="4">SUM(C26:C32)</f>
        <v>0</v>
      </c>
      <c r="D25" s="429">
        <f>IF(Титульный!$B$17="2016-2018",'НВВ базовый расчет'!L35,'НВВ базовый расчет'!H35)</f>
        <v>0</v>
      </c>
      <c r="E25" s="429">
        <f t="shared" si="4"/>
        <v>0</v>
      </c>
      <c r="F25" s="429">
        <f t="shared" si="0"/>
        <v>0</v>
      </c>
      <c r="G25" s="429">
        <f t="shared" si="1"/>
        <v>0</v>
      </c>
    </row>
    <row r="26" spans="1:7">
      <c r="A26" s="377" t="s">
        <v>196</v>
      </c>
      <c r="B26" s="375" t="s">
        <v>661</v>
      </c>
      <c r="C26" s="431">
        <f>НРиА!C20</f>
        <v>0</v>
      </c>
      <c r="D26" s="431">
        <f>IF(Титульный!$B$17="2016-2018",'НВВ базовый расчет'!L36,'НВВ базовый расчет'!H36)</f>
        <v>0</v>
      </c>
      <c r="E26" s="431">
        <f>НРиА!E20</f>
        <v>0</v>
      </c>
      <c r="F26" s="431">
        <f t="shared" si="0"/>
        <v>0</v>
      </c>
      <c r="G26" s="431">
        <f t="shared" si="1"/>
        <v>0</v>
      </c>
    </row>
    <row r="27" spans="1:7">
      <c r="A27" s="377" t="s">
        <v>197</v>
      </c>
      <c r="B27" s="375" t="s">
        <v>662</v>
      </c>
      <c r="C27" s="431">
        <f>НРиА!C21</f>
        <v>0</v>
      </c>
      <c r="D27" s="431">
        <f>IF(Титульный!$B$17="2016-2018",'НВВ базовый расчет'!L37,'НВВ базовый расчет'!H37)</f>
        <v>0</v>
      </c>
      <c r="E27" s="431">
        <f>НРиА!E21</f>
        <v>0</v>
      </c>
      <c r="F27" s="431">
        <f t="shared" si="0"/>
        <v>0</v>
      </c>
      <c r="G27" s="431">
        <f t="shared" si="1"/>
        <v>0</v>
      </c>
    </row>
    <row r="28" spans="1:7">
      <c r="A28" s="377" t="s">
        <v>198</v>
      </c>
      <c r="B28" s="375" t="s">
        <v>663</v>
      </c>
      <c r="C28" s="431">
        <f>НРиА!C22</f>
        <v>0</v>
      </c>
      <c r="D28" s="431">
        <f>IF(Титульный!$B$17="2016-2018",'НВВ базовый расчет'!L38,'НВВ базовый расчет'!H38)</f>
        <v>0</v>
      </c>
      <c r="E28" s="431">
        <f>НРиА!E22</f>
        <v>0</v>
      </c>
      <c r="F28" s="431">
        <f t="shared" si="0"/>
        <v>0</v>
      </c>
      <c r="G28" s="431">
        <f t="shared" si="1"/>
        <v>0</v>
      </c>
    </row>
    <row r="29" spans="1:7">
      <c r="A29" s="377" t="s">
        <v>208</v>
      </c>
      <c r="B29" s="375" t="s">
        <v>664</v>
      </c>
      <c r="C29" s="431">
        <f>НРиА!C23</f>
        <v>0</v>
      </c>
      <c r="D29" s="431">
        <f>IF(Титульный!$B$17="2016-2018",'НВВ базовый расчет'!L39,'НВВ базовый расчет'!H39)</f>
        <v>0</v>
      </c>
      <c r="E29" s="431">
        <f>НРиА!E23</f>
        <v>0</v>
      </c>
      <c r="F29" s="431">
        <f t="shared" si="0"/>
        <v>0</v>
      </c>
      <c r="G29" s="431">
        <f t="shared" si="1"/>
        <v>0</v>
      </c>
    </row>
    <row r="30" spans="1:7">
      <c r="A30" s="377" t="s">
        <v>209</v>
      </c>
      <c r="B30" s="375" t="s">
        <v>665</v>
      </c>
      <c r="C30" s="431">
        <f>НРиА!C24</f>
        <v>0</v>
      </c>
      <c r="D30" s="431">
        <f>IF(Титульный!$B$17="2016-2018",'НВВ базовый расчет'!L40,'НВВ базовый расчет'!H40)</f>
        <v>0</v>
      </c>
      <c r="E30" s="431">
        <f>НРиА!E24</f>
        <v>0</v>
      </c>
      <c r="F30" s="431">
        <f t="shared" si="0"/>
        <v>0</v>
      </c>
      <c r="G30" s="431">
        <f t="shared" si="1"/>
        <v>0</v>
      </c>
    </row>
    <row r="31" spans="1:7">
      <c r="A31" s="377" t="s">
        <v>210</v>
      </c>
      <c r="B31" s="375" t="s">
        <v>666</v>
      </c>
      <c r="C31" s="431">
        <f>НРиА!C25</f>
        <v>0</v>
      </c>
      <c r="D31" s="431">
        <f>IF(Титульный!$B$17="2016-2018",'НВВ базовый расчет'!L41,'НВВ базовый расчет'!H41)</f>
        <v>0</v>
      </c>
      <c r="E31" s="431">
        <f>НРиА!E25</f>
        <v>0</v>
      </c>
      <c r="F31" s="431">
        <f t="shared" si="0"/>
        <v>0</v>
      </c>
      <c r="G31" s="431">
        <f t="shared" si="1"/>
        <v>0</v>
      </c>
    </row>
    <row r="32" spans="1:7">
      <c r="A32" s="377" t="s">
        <v>211</v>
      </c>
      <c r="B32" s="375" t="s">
        <v>667</v>
      </c>
      <c r="C32" s="431">
        <f>НРиА!C26</f>
        <v>0</v>
      </c>
      <c r="D32" s="431">
        <f>IF(Титульный!$B$17="2016-2018",'НВВ базовый расчет'!L42,'НВВ базовый расчет'!H42)</f>
        <v>0</v>
      </c>
      <c r="E32" s="431">
        <f>НРиА!E26</f>
        <v>0</v>
      </c>
      <c r="F32" s="431">
        <f t="shared" si="0"/>
        <v>0</v>
      </c>
      <c r="G32" s="431">
        <f t="shared" si="1"/>
        <v>0</v>
      </c>
    </row>
    <row r="33" spans="1:7">
      <c r="A33" s="428" t="s">
        <v>212</v>
      </c>
      <c r="B33" s="379" t="s">
        <v>668</v>
      </c>
      <c r="C33" s="429">
        <f>НРиА!C27</f>
        <v>0</v>
      </c>
      <c r="D33" s="429">
        <f>IF(Титульный!$B$17="2016-2018",'НВВ базовый расчет'!L43,'НВВ базовый расчет'!H43)</f>
        <v>0</v>
      </c>
      <c r="E33" s="429">
        <f>НРиА!E27</f>
        <v>0</v>
      </c>
      <c r="F33" s="429">
        <f t="shared" si="0"/>
        <v>0</v>
      </c>
      <c r="G33" s="429">
        <f t="shared" si="1"/>
        <v>0</v>
      </c>
    </row>
    <row r="34" spans="1:7">
      <c r="A34" s="428" t="s">
        <v>324</v>
      </c>
      <c r="B34" s="379" t="s">
        <v>669</v>
      </c>
      <c r="C34" s="429">
        <f>НРиА!C28</f>
        <v>0</v>
      </c>
      <c r="D34" s="429">
        <f>IF(Титульный!$B$17="2016-2018",'НВВ базовый расчет'!L44,'НВВ базовый расчет'!H44)</f>
        <v>0</v>
      </c>
      <c r="E34" s="429">
        <f>НРиА!E28</f>
        <v>0</v>
      </c>
      <c r="F34" s="429">
        <f t="shared" si="0"/>
        <v>0</v>
      </c>
      <c r="G34" s="429">
        <f t="shared" si="1"/>
        <v>0</v>
      </c>
    </row>
    <row r="35" spans="1:7">
      <c r="A35" s="428" t="s">
        <v>317</v>
      </c>
      <c r="B35" s="1048" t="s">
        <v>1799</v>
      </c>
      <c r="C35" s="429">
        <f>НРиА!C29</f>
        <v>0</v>
      </c>
      <c r="D35" s="429">
        <f>IF(Титульный!B40="2016-2018",'НВВ базовый расчет'!L32+'НВВ базовый расчет'!L47,'НВВ базовый расчет'!H32+'НВВ базовый расчет'!H47)</f>
        <v>0</v>
      </c>
      <c r="E35" s="429">
        <f>НРиА!E29</f>
        <v>0</v>
      </c>
      <c r="F35" s="429">
        <f t="shared" si="0"/>
        <v>0</v>
      </c>
      <c r="G35" s="429">
        <f t="shared" si="1"/>
        <v>0</v>
      </c>
    </row>
    <row r="36" spans="1:7">
      <c r="A36" s="428" t="s">
        <v>328</v>
      </c>
      <c r="B36" s="379" t="s">
        <v>671</v>
      </c>
      <c r="C36" s="429">
        <f>НРиА!C30</f>
        <v>0</v>
      </c>
      <c r="D36" s="429">
        <f>IF(Титульный!$B$17="2016-2018",'НВВ базовый расчет'!L46,'НВВ базовый расчет'!H46)</f>
        <v>0</v>
      </c>
      <c r="E36" s="429">
        <f>НРиА!E30</f>
        <v>0</v>
      </c>
      <c r="F36" s="429">
        <f t="shared" si="0"/>
        <v>0</v>
      </c>
      <c r="G36" s="429">
        <f t="shared" si="1"/>
        <v>0</v>
      </c>
    </row>
    <row r="37" spans="1:7">
      <c r="A37" s="428" t="s">
        <v>330</v>
      </c>
      <c r="B37" s="1058" t="s">
        <v>1921</v>
      </c>
      <c r="C37" s="429">
        <f>НРиА!C31</f>
        <v>0</v>
      </c>
      <c r="D37" s="1056"/>
      <c r="E37" s="429">
        <f>НРиА!E31</f>
        <v>0</v>
      </c>
      <c r="F37" s="429">
        <f t="shared" si="0"/>
        <v>0</v>
      </c>
      <c r="G37" s="429">
        <f t="shared" si="1"/>
        <v>0</v>
      </c>
    </row>
    <row r="38" spans="1:7">
      <c r="A38" s="428" t="s">
        <v>338</v>
      </c>
      <c r="B38" s="379" t="s">
        <v>673</v>
      </c>
      <c r="C38" s="429">
        <f>НРиА!C32</f>
        <v>0</v>
      </c>
      <c r="D38" s="429">
        <f>IF(Титульный!$B$17="2016-2018",'НВВ базовый расчет'!L48,'НВВ базовый расчет'!H48)</f>
        <v>0</v>
      </c>
      <c r="E38" s="429">
        <f>НРиА!E32</f>
        <v>0</v>
      </c>
      <c r="F38" s="429">
        <f t="shared" si="0"/>
        <v>0</v>
      </c>
      <c r="G38" s="429">
        <f t="shared" si="1"/>
        <v>0</v>
      </c>
    </row>
    <row r="39" spans="1:7">
      <c r="A39" s="451" t="s">
        <v>674</v>
      </c>
      <c r="B39" s="426" t="s">
        <v>646</v>
      </c>
      <c r="C39" s="427">
        <f>НРиА!C33</f>
        <v>0</v>
      </c>
      <c r="D39" s="427">
        <f>IF(Титульный!$B$17="2016-2018",'НВВ базовый расчет'!L49,'НВВ базовый расчет'!H49)</f>
        <v>0</v>
      </c>
      <c r="E39" s="429">
        <f>НРиА!E33</f>
        <v>0</v>
      </c>
      <c r="F39" s="427">
        <f t="shared" si="0"/>
        <v>0</v>
      </c>
      <c r="G39" s="427">
        <f t="shared" si="1"/>
        <v>0</v>
      </c>
    </row>
    <row r="40" spans="1:7">
      <c r="A40" s="451" t="s">
        <v>675</v>
      </c>
      <c r="B40" s="426" t="s">
        <v>647</v>
      </c>
      <c r="C40" s="427">
        <f>НП!D54</f>
        <v>0</v>
      </c>
      <c r="D40" s="427">
        <f>IF(Титульный!$B$17="2016-2018",'НВВ базовый расчет'!L50,'НВВ базовый расчет'!H50)</f>
        <v>0</v>
      </c>
      <c r="E40" s="427">
        <f>НП!M54</f>
        <v>0</v>
      </c>
      <c r="F40" s="427">
        <f t="shared" si="0"/>
        <v>0</v>
      </c>
      <c r="G40" s="427">
        <f t="shared" si="1"/>
        <v>0</v>
      </c>
    </row>
    <row r="41" spans="1:7" ht="31.5">
      <c r="A41" s="451" t="s">
        <v>680</v>
      </c>
      <c r="B41" s="426" t="s">
        <v>778</v>
      </c>
      <c r="C41" s="423"/>
      <c r="D41" s="427">
        <f>IF(Титульный!$B$17="2016-2018",'НВВ базовый расчет'!L55,'НВВ базовый расчет'!H55)</f>
        <v>0</v>
      </c>
      <c r="E41" s="1317"/>
      <c r="F41" s="380">
        <f t="shared" ref="F41:F45" si="5">E41-D41</f>
        <v>0</v>
      </c>
      <c r="G41" s="380">
        <f t="shared" ref="G41:G45" si="6">IF(D41=0,0,E41/D41)</f>
        <v>0</v>
      </c>
    </row>
    <row r="42" spans="1:7" ht="31.5">
      <c r="A42" s="451" t="s">
        <v>681</v>
      </c>
      <c r="B42" s="426" t="s">
        <v>2000</v>
      </c>
      <c r="C42" s="423"/>
      <c r="D42" s="427">
        <f>IF(Титульный!$B$17="2016-2018",'НВВ базовый расчет'!L56,'НВВ базовый расчет'!H56)</f>
        <v>0</v>
      </c>
      <c r="E42" s="427">
        <f>IF(Титульный!$B$17="2016-2018",'НВВ базовый расчет'!L56,'НВВ базовый расчет'!H56)</f>
        <v>0</v>
      </c>
      <c r="F42" s="427">
        <f t="shared" si="5"/>
        <v>0</v>
      </c>
      <c r="G42" s="427">
        <f t="shared" si="6"/>
        <v>0</v>
      </c>
    </row>
    <row r="43" spans="1:7" ht="47.25">
      <c r="A43" s="451" t="s">
        <v>684</v>
      </c>
      <c r="B43" s="1049" t="s">
        <v>1917</v>
      </c>
      <c r="C43" s="429">
        <f>IF(Титульный!B17="2016-2018",НВВ16ф!D103,0)</f>
        <v>0</v>
      </c>
      <c r="D43" s="1050"/>
      <c r="E43" s="1050">
        <f>IF(Титульный!B17="2016-2018",НВВ16ф!L103,0)</f>
        <v>0</v>
      </c>
      <c r="F43" s="1050">
        <f t="shared" si="5"/>
        <v>0</v>
      </c>
      <c r="G43" s="1050">
        <f t="shared" si="6"/>
        <v>0</v>
      </c>
    </row>
    <row r="44" spans="1:7" ht="51.75" customHeight="1">
      <c r="A44" s="451" t="s">
        <v>1932</v>
      </c>
      <c r="B44" s="1049" t="s">
        <v>1918</v>
      </c>
      <c r="C44" s="429">
        <f>IF(Титульный!B17="2016-2018",ППф!F19,0)</f>
        <v>0</v>
      </c>
      <c r="D44" s="1050"/>
      <c r="E44" s="1050">
        <f>IF(Титульный!B17="2016-2018",ППф!P19,0)</f>
        <v>0</v>
      </c>
      <c r="F44" s="1050">
        <f t="shared" si="5"/>
        <v>0</v>
      </c>
      <c r="G44" s="1050">
        <f t="shared" si="6"/>
        <v>0</v>
      </c>
    </row>
    <row r="45" spans="1:7" ht="31.5">
      <c r="A45" s="451" t="s">
        <v>1861</v>
      </c>
      <c r="B45" s="1049" t="s">
        <v>1919</v>
      </c>
      <c r="C45" s="429">
        <f>IF(Титульный!B17="2016-2018",ИПф!E14,0)</f>
        <v>0</v>
      </c>
      <c r="D45" s="1050"/>
      <c r="E45" s="1050">
        <f>IF(Титульный!B17="2016-2018",ИПф!N14,0)</f>
        <v>0</v>
      </c>
      <c r="F45" s="1050">
        <f t="shared" si="5"/>
        <v>0</v>
      </c>
      <c r="G45" s="1050">
        <f t="shared" si="6"/>
        <v>0</v>
      </c>
    </row>
    <row r="46" spans="1:7">
      <c r="A46" s="451" t="s">
        <v>941</v>
      </c>
      <c r="B46" s="426" t="s">
        <v>934</v>
      </c>
      <c r="C46" s="427">
        <f>SUM(C11,C17:C18,C39:C45)</f>
        <v>0</v>
      </c>
      <c r="D46" s="427">
        <f>IF(Титульный!$B$17="2016-2018",'НВВ базовый расчет'!L72,'НВВ базовый расчет'!H72)</f>
        <v>0</v>
      </c>
      <c r="E46" s="427">
        <f>SUM(E11,E17:E18,E39:E45)</f>
        <v>0</v>
      </c>
      <c r="F46" s="427">
        <f>SUM(F11,F17:F18,F39:F45)</f>
        <v>0</v>
      </c>
      <c r="G46" s="427">
        <f>IF(D46=0,0,E46/D46)</f>
        <v>0</v>
      </c>
    </row>
    <row r="47" spans="1:7">
      <c r="A47" s="451" t="s">
        <v>945</v>
      </c>
      <c r="B47" s="426" t="s">
        <v>942</v>
      </c>
      <c r="C47" s="427">
        <f>'баланс ВСН'!I33</f>
        <v>0</v>
      </c>
      <c r="D47" s="427">
        <f>IF(Титульный!$B$17="2016-2018",'НВВ базовый расчет'!L73,'НВВ базовый расчет'!H73)</f>
        <v>0</v>
      </c>
      <c r="E47" s="427">
        <f>'баланс ВСН'!X33</f>
        <v>0</v>
      </c>
      <c r="F47" s="427">
        <f>E47-D47</f>
        <v>0</v>
      </c>
      <c r="G47" s="427">
        <f>IF(D47=0,0,E47/D47)</f>
        <v>0</v>
      </c>
    </row>
    <row r="48" spans="1:7">
      <c r="A48" s="453"/>
      <c r="B48" s="454" t="s">
        <v>943</v>
      </c>
      <c r="C48" s="457">
        <f>'баланс ВСН'!H33</f>
        <v>0</v>
      </c>
      <c r="D48" s="1318"/>
      <c r="E48" s="457">
        <f>'баланс ВСН'!W33</f>
        <v>0</v>
      </c>
      <c r="F48" s="457">
        <f>E48-D48</f>
        <v>0</v>
      </c>
      <c r="G48" s="457">
        <f>IF(D48=0,0,E48/D48)</f>
        <v>0</v>
      </c>
    </row>
    <row r="49" spans="1:7">
      <c r="A49" s="453"/>
      <c r="B49" s="455" t="s">
        <v>944</v>
      </c>
      <c r="C49" s="457">
        <f>C47-C48</f>
        <v>0</v>
      </c>
      <c r="D49" s="457">
        <f t="shared" ref="D49" si="7">D47-D48</f>
        <v>0</v>
      </c>
      <c r="E49" s="457">
        <f>E47-E48</f>
        <v>0</v>
      </c>
      <c r="F49" s="457">
        <f>E49-D49</f>
        <v>0</v>
      </c>
      <c r="G49" s="457">
        <f>IF(D49=0,0,E49/D49)</f>
        <v>0</v>
      </c>
    </row>
    <row r="50" spans="1:7">
      <c r="A50" s="451" t="s">
        <v>948</v>
      </c>
      <c r="B50" s="426" t="s">
        <v>946</v>
      </c>
      <c r="C50" s="427"/>
      <c r="D50" s="427"/>
      <c r="E50" s="427"/>
      <c r="F50" s="427"/>
      <c r="G50" s="427"/>
    </row>
    <row r="51" spans="1:7">
      <c r="A51" s="453"/>
      <c r="B51" s="456" t="s">
        <v>1080</v>
      </c>
      <c r="C51" s="457">
        <f>IF(Титульный!B17="2016-2018",'данные об организации'!D20,'данные об организации'!J18)</f>
        <v>0</v>
      </c>
      <c r="D51" s="457">
        <f>IF(Титульный!$B$17="2016-2018",'НВВ базовый расчет'!M74,'НВВ базовый расчет'!I74)</f>
        <v>0</v>
      </c>
      <c r="E51" s="457">
        <f>IF(Титульный!$B$17="2016-2018",НВВ2017!G48,'НВВ базовый расчет'!F74)</f>
        <v>0</v>
      </c>
      <c r="F51" s="457"/>
      <c r="G51" s="457"/>
    </row>
    <row r="52" spans="1:7">
      <c r="A52" s="453"/>
      <c r="B52" s="456" t="s">
        <v>1081</v>
      </c>
      <c r="C52" s="457">
        <f>IF(C47=0,0,(C46-C51*C47/2)/(C47/2))</f>
        <v>0</v>
      </c>
      <c r="D52" s="457">
        <f>IF(Титульный!$B$17="2016-2018",'НВВ базовый расчет'!N74,'НВВ базовый расчет'!J74)</f>
        <v>0</v>
      </c>
      <c r="E52" s="457">
        <f>IF(E47=0,0,(E46-E51*E47/2)/(E47/2))</f>
        <v>0</v>
      </c>
      <c r="F52" s="457"/>
      <c r="G52" s="457"/>
    </row>
    <row r="53" spans="1:7">
      <c r="A53" s="1316" t="s">
        <v>1933</v>
      </c>
      <c r="B53" s="1297" t="s">
        <v>949</v>
      </c>
      <c r="C53" s="1319">
        <f>IF(C51=0,0,C52/C51)</f>
        <v>0</v>
      </c>
      <c r="D53" s="1319">
        <f t="shared" ref="D53:E53" si="8">IF(D51=0,0,D52/D51)</f>
        <v>0</v>
      </c>
      <c r="E53" s="1319">
        <f t="shared" si="8"/>
        <v>0</v>
      </c>
      <c r="F53" s="1319"/>
      <c r="G53" s="1319"/>
    </row>
    <row r="56" spans="1:7">
      <c r="B56" s="596"/>
      <c r="C56" s="596"/>
      <c r="D56" s="596"/>
      <c r="E56" s="596"/>
      <c r="F56" s="580"/>
      <c r="G56" s="580"/>
    </row>
    <row r="57" spans="1:7">
      <c r="B57" s="596"/>
      <c r="C57" s="597"/>
      <c r="D57" s="596"/>
      <c r="E57" s="596"/>
      <c r="F57" s="580"/>
      <c r="G57" s="580"/>
    </row>
    <row r="58" spans="1:7">
      <c r="B58" s="596"/>
      <c r="C58" s="597"/>
      <c r="D58" s="596"/>
      <c r="E58" s="596"/>
      <c r="F58" s="580"/>
      <c r="G58" s="580"/>
    </row>
    <row r="59" spans="1:7">
      <c r="B59" s="596"/>
      <c r="C59" s="597"/>
      <c r="D59" s="596"/>
      <c r="E59" s="596"/>
      <c r="F59" s="580"/>
      <c r="G59" s="580"/>
    </row>
    <row r="60" spans="1:7">
      <c r="B60" s="596"/>
      <c r="C60" s="596"/>
      <c r="D60" s="596"/>
      <c r="E60" s="596"/>
    </row>
  </sheetData>
  <sheetProtection password="F66E" sheet="1" objects="1" scenarios="1" formatCells="0" formatColumns="0" formatRows="0"/>
  <mergeCells count="7">
    <mergeCell ref="A1:C1"/>
    <mergeCell ref="A3:C3"/>
    <mergeCell ref="F10:G10"/>
    <mergeCell ref="C9:G9"/>
    <mergeCell ref="A4:C4"/>
    <mergeCell ref="B9:B10"/>
    <mergeCell ref="A9:A10"/>
  </mergeCells>
  <pageMargins left="0" right="0" top="0" bottom="0" header="0.31496062992125984" footer="0"/>
  <pageSetup paperSize="8" scale="9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tabColor rgb="FF00B0F0"/>
  </sheetPr>
  <dimension ref="A1:AF53"/>
  <sheetViews>
    <sheetView workbookViewId="0">
      <selection sqref="A1:H1"/>
    </sheetView>
  </sheetViews>
  <sheetFormatPr defaultRowHeight="15.75"/>
  <cols>
    <col min="1" max="1" width="8.140625" style="14" customWidth="1"/>
    <col min="2" max="2" width="28.42578125" style="14" customWidth="1"/>
    <col min="3" max="3" width="2.42578125" style="14" customWidth="1"/>
    <col min="4" max="4" width="10.85546875" style="14" customWidth="1"/>
    <col min="5" max="5" width="3.42578125" style="14" customWidth="1"/>
    <col min="6" max="6" width="12.28515625" style="14" customWidth="1"/>
    <col min="7" max="7" width="14" style="14" customWidth="1"/>
    <col min="8" max="8" width="13.85546875" style="14" customWidth="1"/>
    <col min="9" max="17" width="10.28515625" style="14" customWidth="1"/>
    <col min="18" max="18" width="6.5703125" style="23" hidden="1" customWidth="1"/>
    <col min="19" max="19" width="28.42578125" style="23" hidden="1" customWidth="1"/>
    <col min="20" max="20" width="2.7109375" style="23" hidden="1" customWidth="1"/>
    <col min="21" max="21" width="13.5703125" style="23" hidden="1" customWidth="1"/>
    <col min="22" max="22" width="3.85546875" style="23" hidden="1" customWidth="1"/>
    <col min="23" max="24" width="10.28515625" style="23" hidden="1" customWidth="1"/>
    <col min="25" max="25" width="12.140625" style="23" hidden="1" customWidth="1"/>
    <col min="26" max="28" width="10.28515625" style="14" hidden="1" customWidth="1"/>
    <col min="29" max="30" width="11.28515625" style="14" hidden="1" customWidth="1"/>
    <col min="31" max="31" width="10.7109375" style="14" customWidth="1"/>
    <col min="32" max="34" width="10.28515625" style="14" customWidth="1"/>
    <col min="35" max="256" width="9.140625" style="14"/>
    <col min="257" max="257" width="6.5703125" style="14" customWidth="1"/>
    <col min="258" max="258" width="28.42578125" style="14" customWidth="1"/>
    <col min="259" max="259" width="2.7109375" style="14" customWidth="1"/>
    <col min="260" max="260" width="13.5703125" style="14" customWidth="1"/>
    <col min="261" max="261" width="5.42578125" style="14" customWidth="1"/>
    <col min="262" max="262" width="11.42578125" style="14" customWidth="1"/>
    <col min="263" max="263" width="11.7109375" style="14" customWidth="1"/>
    <col min="264" max="264" width="13.85546875" style="14" customWidth="1"/>
    <col min="265" max="273" width="10.28515625" style="14" customWidth="1"/>
    <col min="274" max="274" width="6.5703125" style="14" customWidth="1"/>
    <col min="275" max="275" width="28.42578125" style="14" customWidth="1"/>
    <col min="276" max="276" width="2.7109375" style="14" customWidth="1"/>
    <col min="277" max="277" width="13.5703125" style="14" customWidth="1"/>
    <col min="278" max="278" width="5.42578125" style="14" customWidth="1"/>
    <col min="279" max="280" width="10.28515625" style="14" customWidth="1"/>
    <col min="281" max="281" width="12.140625" style="14" customWidth="1"/>
    <col min="282" max="284" width="10.28515625" style="14" customWidth="1"/>
    <col min="285" max="286" width="11.28515625" style="14" customWidth="1"/>
    <col min="287" max="287" width="10.7109375" style="14" customWidth="1"/>
    <col min="288" max="290" width="10.28515625" style="14" customWidth="1"/>
    <col min="291" max="512" width="9.140625" style="14"/>
    <col min="513" max="513" width="6.5703125" style="14" customWidth="1"/>
    <col min="514" max="514" width="28.42578125" style="14" customWidth="1"/>
    <col min="515" max="515" width="2.7109375" style="14" customWidth="1"/>
    <col min="516" max="516" width="13.5703125" style="14" customWidth="1"/>
    <col min="517" max="517" width="5.42578125" style="14" customWidth="1"/>
    <col min="518" max="518" width="11.42578125" style="14" customWidth="1"/>
    <col min="519" max="519" width="11.7109375" style="14" customWidth="1"/>
    <col min="520" max="520" width="13.85546875" style="14" customWidth="1"/>
    <col min="521" max="529" width="10.28515625" style="14" customWidth="1"/>
    <col min="530" max="530" width="6.5703125" style="14" customWidth="1"/>
    <col min="531" max="531" width="28.42578125" style="14" customWidth="1"/>
    <col min="532" max="532" width="2.7109375" style="14" customWidth="1"/>
    <col min="533" max="533" width="13.5703125" style="14" customWidth="1"/>
    <col min="534" max="534" width="5.42578125" style="14" customWidth="1"/>
    <col min="535" max="536" width="10.28515625" style="14" customWidth="1"/>
    <col min="537" max="537" width="12.140625" style="14" customWidth="1"/>
    <col min="538" max="540" width="10.28515625" style="14" customWidth="1"/>
    <col min="541" max="542" width="11.28515625" style="14" customWidth="1"/>
    <col min="543" max="543" width="10.7109375" style="14" customWidth="1"/>
    <col min="544" max="546" width="10.28515625" style="14" customWidth="1"/>
    <col min="547" max="768" width="9.140625" style="14"/>
    <col min="769" max="769" width="6.5703125" style="14" customWidth="1"/>
    <col min="770" max="770" width="28.42578125" style="14" customWidth="1"/>
    <col min="771" max="771" width="2.7109375" style="14" customWidth="1"/>
    <col min="772" max="772" width="13.5703125" style="14" customWidth="1"/>
    <col min="773" max="773" width="5.42578125" style="14" customWidth="1"/>
    <col min="774" max="774" width="11.42578125" style="14" customWidth="1"/>
    <col min="775" max="775" width="11.7109375" style="14" customWidth="1"/>
    <col min="776" max="776" width="13.85546875" style="14" customWidth="1"/>
    <col min="777" max="785" width="10.28515625" style="14" customWidth="1"/>
    <col min="786" max="786" width="6.5703125" style="14" customWidth="1"/>
    <col min="787" max="787" width="28.42578125" style="14" customWidth="1"/>
    <col min="788" max="788" width="2.7109375" style="14" customWidth="1"/>
    <col min="789" max="789" width="13.5703125" style="14" customWidth="1"/>
    <col min="790" max="790" width="5.42578125" style="14" customWidth="1"/>
    <col min="791" max="792" width="10.28515625" style="14" customWidth="1"/>
    <col min="793" max="793" width="12.140625" style="14" customWidth="1"/>
    <col min="794" max="796" width="10.28515625" style="14" customWidth="1"/>
    <col min="797" max="798" width="11.28515625" style="14" customWidth="1"/>
    <col min="799" max="799" width="10.7109375" style="14" customWidth="1"/>
    <col min="800" max="802" width="10.28515625" style="14" customWidth="1"/>
    <col min="803" max="1024" width="9.140625" style="14"/>
    <col min="1025" max="1025" width="6.5703125" style="14" customWidth="1"/>
    <col min="1026" max="1026" width="28.42578125" style="14" customWidth="1"/>
    <col min="1027" max="1027" width="2.7109375" style="14" customWidth="1"/>
    <col min="1028" max="1028" width="13.5703125" style="14" customWidth="1"/>
    <col min="1029" max="1029" width="5.42578125" style="14" customWidth="1"/>
    <col min="1030" max="1030" width="11.42578125" style="14" customWidth="1"/>
    <col min="1031" max="1031" width="11.7109375" style="14" customWidth="1"/>
    <col min="1032" max="1032" width="13.85546875" style="14" customWidth="1"/>
    <col min="1033" max="1041" width="10.28515625" style="14" customWidth="1"/>
    <col min="1042" max="1042" width="6.5703125" style="14" customWidth="1"/>
    <col min="1043" max="1043" width="28.42578125" style="14" customWidth="1"/>
    <col min="1044" max="1044" width="2.7109375" style="14" customWidth="1"/>
    <col min="1045" max="1045" width="13.5703125" style="14" customWidth="1"/>
    <col min="1046" max="1046" width="5.42578125" style="14" customWidth="1"/>
    <col min="1047" max="1048" width="10.28515625" style="14" customWidth="1"/>
    <col min="1049" max="1049" width="12.140625" style="14" customWidth="1"/>
    <col min="1050" max="1052" width="10.28515625" style="14" customWidth="1"/>
    <col min="1053" max="1054" width="11.28515625" style="14" customWidth="1"/>
    <col min="1055" max="1055" width="10.7109375" style="14" customWidth="1"/>
    <col min="1056" max="1058" width="10.28515625" style="14" customWidth="1"/>
    <col min="1059" max="1280" width="9.140625" style="14"/>
    <col min="1281" max="1281" width="6.5703125" style="14" customWidth="1"/>
    <col min="1282" max="1282" width="28.42578125" style="14" customWidth="1"/>
    <col min="1283" max="1283" width="2.7109375" style="14" customWidth="1"/>
    <col min="1284" max="1284" width="13.5703125" style="14" customWidth="1"/>
    <col min="1285" max="1285" width="5.42578125" style="14" customWidth="1"/>
    <col min="1286" max="1286" width="11.42578125" style="14" customWidth="1"/>
    <col min="1287" max="1287" width="11.7109375" style="14" customWidth="1"/>
    <col min="1288" max="1288" width="13.85546875" style="14" customWidth="1"/>
    <col min="1289" max="1297" width="10.28515625" style="14" customWidth="1"/>
    <col min="1298" max="1298" width="6.5703125" style="14" customWidth="1"/>
    <col min="1299" max="1299" width="28.42578125" style="14" customWidth="1"/>
    <col min="1300" max="1300" width="2.7109375" style="14" customWidth="1"/>
    <col min="1301" max="1301" width="13.5703125" style="14" customWidth="1"/>
    <col min="1302" max="1302" width="5.42578125" style="14" customWidth="1"/>
    <col min="1303" max="1304" width="10.28515625" style="14" customWidth="1"/>
    <col min="1305" max="1305" width="12.140625" style="14" customWidth="1"/>
    <col min="1306" max="1308" width="10.28515625" style="14" customWidth="1"/>
    <col min="1309" max="1310" width="11.28515625" style="14" customWidth="1"/>
    <col min="1311" max="1311" width="10.7109375" style="14" customWidth="1"/>
    <col min="1312" max="1314" width="10.28515625" style="14" customWidth="1"/>
    <col min="1315" max="1536" width="9.140625" style="14"/>
    <col min="1537" max="1537" width="6.5703125" style="14" customWidth="1"/>
    <col min="1538" max="1538" width="28.42578125" style="14" customWidth="1"/>
    <col min="1539" max="1539" width="2.7109375" style="14" customWidth="1"/>
    <col min="1540" max="1540" width="13.5703125" style="14" customWidth="1"/>
    <col min="1541" max="1541" width="5.42578125" style="14" customWidth="1"/>
    <col min="1542" max="1542" width="11.42578125" style="14" customWidth="1"/>
    <col min="1543" max="1543" width="11.7109375" style="14" customWidth="1"/>
    <col min="1544" max="1544" width="13.85546875" style="14" customWidth="1"/>
    <col min="1545" max="1553" width="10.28515625" style="14" customWidth="1"/>
    <col min="1554" max="1554" width="6.5703125" style="14" customWidth="1"/>
    <col min="1555" max="1555" width="28.42578125" style="14" customWidth="1"/>
    <col min="1556" max="1556" width="2.7109375" style="14" customWidth="1"/>
    <col min="1557" max="1557" width="13.5703125" style="14" customWidth="1"/>
    <col min="1558" max="1558" width="5.42578125" style="14" customWidth="1"/>
    <col min="1559" max="1560" width="10.28515625" style="14" customWidth="1"/>
    <col min="1561" max="1561" width="12.140625" style="14" customWidth="1"/>
    <col min="1562" max="1564" width="10.28515625" style="14" customWidth="1"/>
    <col min="1565" max="1566" width="11.28515625" style="14" customWidth="1"/>
    <col min="1567" max="1567" width="10.7109375" style="14" customWidth="1"/>
    <col min="1568" max="1570" width="10.28515625" style="14" customWidth="1"/>
    <col min="1571" max="1792" width="9.140625" style="14"/>
    <col min="1793" max="1793" width="6.5703125" style="14" customWidth="1"/>
    <col min="1794" max="1794" width="28.42578125" style="14" customWidth="1"/>
    <col min="1795" max="1795" width="2.7109375" style="14" customWidth="1"/>
    <col min="1796" max="1796" width="13.5703125" style="14" customWidth="1"/>
    <col min="1797" max="1797" width="5.42578125" style="14" customWidth="1"/>
    <col min="1798" max="1798" width="11.42578125" style="14" customWidth="1"/>
    <col min="1799" max="1799" width="11.7109375" style="14" customWidth="1"/>
    <col min="1800" max="1800" width="13.85546875" style="14" customWidth="1"/>
    <col min="1801" max="1809" width="10.28515625" style="14" customWidth="1"/>
    <col min="1810" max="1810" width="6.5703125" style="14" customWidth="1"/>
    <col min="1811" max="1811" width="28.42578125" style="14" customWidth="1"/>
    <col min="1812" max="1812" width="2.7109375" style="14" customWidth="1"/>
    <col min="1813" max="1813" width="13.5703125" style="14" customWidth="1"/>
    <col min="1814" max="1814" width="5.42578125" style="14" customWidth="1"/>
    <col min="1815" max="1816" width="10.28515625" style="14" customWidth="1"/>
    <col min="1817" max="1817" width="12.140625" style="14" customWidth="1"/>
    <col min="1818" max="1820" width="10.28515625" style="14" customWidth="1"/>
    <col min="1821" max="1822" width="11.28515625" style="14" customWidth="1"/>
    <col min="1823" max="1823" width="10.7109375" style="14" customWidth="1"/>
    <col min="1824" max="1826" width="10.28515625" style="14" customWidth="1"/>
    <col min="1827" max="2048" width="9.140625" style="14"/>
    <col min="2049" max="2049" width="6.5703125" style="14" customWidth="1"/>
    <col min="2050" max="2050" width="28.42578125" style="14" customWidth="1"/>
    <col min="2051" max="2051" width="2.7109375" style="14" customWidth="1"/>
    <col min="2052" max="2052" width="13.5703125" style="14" customWidth="1"/>
    <col min="2053" max="2053" width="5.42578125" style="14" customWidth="1"/>
    <col min="2054" max="2054" width="11.42578125" style="14" customWidth="1"/>
    <col min="2055" max="2055" width="11.7109375" style="14" customWidth="1"/>
    <col min="2056" max="2056" width="13.85546875" style="14" customWidth="1"/>
    <col min="2057" max="2065" width="10.28515625" style="14" customWidth="1"/>
    <col min="2066" max="2066" width="6.5703125" style="14" customWidth="1"/>
    <col min="2067" max="2067" width="28.42578125" style="14" customWidth="1"/>
    <col min="2068" max="2068" width="2.7109375" style="14" customWidth="1"/>
    <col min="2069" max="2069" width="13.5703125" style="14" customWidth="1"/>
    <col min="2070" max="2070" width="5.42578125" style="14" customWidth="1"/>
    <col min="2071" max="2072" width="10.28515625" style="14" customWidth="1"/>
    <col min="2073" max="2073" width="12.140625" style="14" customWidth="1"/>
    <col min="2074" max="2076" width="10.28515625" style="14" customWidth="1"/>
    <col min="2077" max="2078" width="11.28515625" style="14" customWidth="1"/>
    <col min="2079" max="2079" width="10.7109375" style="14" customWidth="1"/>
    <col min="2080" max="2082" width="10.28515625" style="14" customWidth="1"/>
    <col min="2083" max="2304" width="9.140625" style="14"/>
    <col min="2305" max="2305" width="6.5703125" style="14" customWidth="1"/>
    <col min="2306" max="2306" width="28.42578125" style="14" customWidth="1"/>
    <col min="2307" max="2307" width="2.7109375" style="14" customWidth="1"/>
    <col min="2308" max="2308" width="13.5703125" style="14" customWidth="1"/>
    <col min="2309" max="2309" width="5.42578125" style="14" customWidth="1"/>
    <col min="2310" max="2310" width="11.42578125" style="14" customWidth="1"/>
    <col min="2311" max="2311" width="11.7109375" style="14" customWidth="1"/>
    <col min="2312" max="2312" width="13.85546875" style="14" customWidth="1"/>
    <col min="2313" max="2321" width="10.28515625" style="14" customWidth="1"/>
    <col min="2322" max="2322" width="6.5703125" style="14" customWidth="1"/>
    <col min="2323" max="2323" width="28.42578125" style="14" customWidth="1"/>
    <col min="2324" max="2324" width="2.7109375" style="14" customWidth="1"/>
    <col min="2325" max="2325" width="13.5703125" style="14" customWidth="1"/>
    <col min="2326" max="2326" width="5.42578125" style="14" customWidth="1"/>
    <col min="2327" max="2328" width="10.28515625" style="14" customWidth="1"/>
    <col min="2329" max="2329" width="12.140625" style="14" customWidth="1"/>
    <col min="2330" max="2332" width="10.28515625" style="14" customWidth="1"/>
    <col min="2333" max="2334" width="11.28515625" style="14" customWidth="1"/>
    <col min="2335" max="2335" width="10.7109375" style="14" customWidth="1"/>
    <col min="2336" max="2338" width="10.28515625" style="14" customWidth="1"/>
    <col min="2339" max="2560" width="9.140625" style="14"/>
    <col min="2561" max="2561" width="6.5703125" style="14" customWidth="1"/>
    <col min="2562" max="2562" width="28.42578125" style="14" customWidth="1"/>
    <col min="2563" max="2563" width="2.7109375" style="14" customWidth="1"/>
    <col min="2564" max="2564" width="13.5703125" style="14" customWidth="1"/>
    <col min="2565" max="2565" width="5.42578125" style="14" customWidth="1"/>
    <col min="2566" max="2566" width="11.42578125" style="14" customWidth="1"/>
    <col min="2567" max="2567" width="11.7109375" style="14" customWidth="1"/>
    <col min="2568" max="2568" width="13.85546875" style="14" customWidth="1"/>
    <col min="2569" max="2577" width="10.28515625" style="14" customWidth="1"/>
    <col min="2578" max="2578" width="6.5703125" style="14" customWidth="1"/>
    <col min="2579" max="2579" width="28.42578125" style="14" customWidth="1"/>
    <col min="2580" max="2580" width="2.7109375" style="14" customWidth="1"/>
    <col min="2581" max="2581" width="13.5703125" style="14" customWidth="1"/>
    <col min="2582" max="2582" width="5.42578125" style="14" customWidth="1"/>
    <col min="2583" max="2584" width="10.28515625" style="14" customWidth="1"/>
    <col min="2585" max="2585" width="12.140625" style="14" customWidth="1"/>
    <col min="2586" max="2588" width="10.28515625" style="14" customWidth="1"/>
    <col min="2589" max="2590" width="11.28515625" style="14" customWidth="1"/>
    <col min="2591" max="2591" width="10.7109375" style="14" customWidth="1"/>
    <col min="2592" max="2594" width="10.28515625" style="14" customWidth="1"/>
    <col min="2595" max="2816" width="9.140625" style="14"/>
    <col min="2817" max="2817" width="6.5703125" style="14" customWidth="1"/>
    <col min="2818" max="2818" width="28.42578125" style="14" customWidth="1"/>
    <col min="2819" max="2819" width="2.7109375" style="14" customWidth="1"/>
    <col min="2820" max="2820" width="13.5703125" style="14" customWidth="1"/>
    <col min="2821" max="2821" width="5.42578125" style="14" customWidth="1"/>
    <col min="2822" max="2822" width="11.42578125" style="14" customWidth="1"/>
    <col min="2823" max="2823" width="11.7109375" style="14" customWidth="1"/>
    <col min="2824" max="2824" width="13.85546875" style="14" customWidth="1"/>
    <col min="2825" max="2833" width="10.28515625" style="14" customWidth="1"/>
    <col min="2834" max="2834" width="6.5703125" style="14" customWidth="1"/>
    <col min="2835" max="2835" width="28.42578125" style="14" customWidth="1"/>
    <col min="2836" max="2836" width="2.7109375" style="14" customWidth="1"/>
    <col min="2837" max="2837" width="13.5703125" style="14" customWidth="1"/>
    <col min="2838" max="2838" width="5.42578125" style="14" customWidth="1"/>
    <col min="2839" max="2840" width="10.28515625" style="14" customWidth="1"/>
    <col min="2841" max="2841" width="12.140625" style="14" customWidth="1"/>
    <col min="2842" max="2844" width="10.28515625" style="14" customWidth="1"/>
    <col min="2845" max="2846" width="11.28515625" style="14" customWidth="1"/>
    <col min="2847" max="2847" width="10.7109375" style="14" customWidth="1"/>
    <col min="2848" max="2850" width="10.28515625" style="14" customWidth="1"/>
    <col min="2851" max="3072" width="9.140625" style="14"/>
    <col min="3073" max="3073" width="6.5703125" style="14" customWidth="1"/>
    <col min="3074" max="3074" width="28.42578125" style="14" customWidth="1"/>
    <col min="3075" max="3075" width="2.7109375" style="14" customWidth="1"/>
    <col min="3076" max="3076" width="13.5703125" style="14" customWidth="1"/>
    <col min="3077" max="3077" width="5.42578125" style="14" customWidth="1"/>
    <col min="3078" max="3078" width="11.42578125" style="14" customWidth="1"/>
    <col min="3079" max="3079" width="11.7109375" style="14" customWidth="1"/>
    <col min="3080" max="3080" width="13.85546875" style="14" customWidth="1"/>
    <col min="3081" max="3089" width="10.28515625" style="14" customWidth="1"/>
    <col min="3090" max="3090" width="6.5703125" style="14" customWidth="1"/>
    <col min="3091" max="3091" width="28.42578125" style="14" customWidth="1"/>
    <col min="3092" max="3092" width="2.7109375" style="14" customWidth="1"/>
    <col min="3093" max="3093" width="13.5703125" style="14" customWidth="1"/>
    <col min="3094" max="3094" width="5.42578125" style="14" customWidth="1"/>
    <col min="3095" max="3096" width="10.28515625" style="14" customWidth="1"/>
    <col min="3097" max="3097" width="12.140625" style="14" customWidth="1"/>
    <col min="3098" max="3100" width="10.28515625" style="14" customWidth="1"/>
    <col min="3101" max="3102" width="11.28515625" style="14" customWidth="1"/>
    <col min="3103" max="3103" width="10.7109375" style="14" customWidth="1"/>
    <col min="3104" max="3106" width="10.28515625" style="14" customWidth="1"/>
    <col min="3107" max="3328" width="9.140625" style="14"/>
    <col min="3329" max="3329" width="6.5703125" style="14" customWidth="1"/>
    <col min="3330" max="3330" width="28.42578125" style="14" customWidth="1"/>
    <col min="3331" max="3331" width="2.7109375" style="14" customWidth="1"/>
    <col min="3332" max="3332" width="13.5703125" style="14" customWidth="1"/>
    <col min="3333" max="3333" width="5.42578125" style="14" customWidth="1"/>
    <col min="3334" max="3334" width="11.42578125" style="14" customWidth="1"/>
    <col min="3335" max="3335" width="11.7109375" style="14" customWidth="1"/>
    <col min="3336" max="3336" width="13.85546875" style="14" customWidth="1"/>
    <col min="3337" max="3345" width="10.28515625" style="14" customWidth="1"/>
    <col min="3346" max="3346" width="6.5703125" style="14" customWidth="1"/>
    <col min="3347" max="3347" width="28.42578125" style="14" customWidth="1"/>
    <col min="3348" max="3348" width="2.7109375" style="14" customWidth="1"/>
    <col min="3349" max="3349" width="13.5703125" style="14" customWidth="1"/>
    <col min="3350" max="3350" width="5.42578125" style="14" customWidth="1"/>
    <col min="3351" max="3352" width="10.28515625" style="14" customWidth="1"/>
    <col min="3353" max="3353" width="12.140625" style="14" customWidth="1"/>
    <col min="3354" max="3356" width="10.28515625" style="14" customWidth="1"/>
    <col min="3357" max="3358" width="11.28515625" style="14" customWidth="1"/>
    <col min="3359" max="3359" width="10.7109375" style="14" customWidth="1"/>
    <col min="3360" max="3362" width="10.28515625" style="14" customWidth="1"/>
    <col min="3363" max="3584" width="9.140625" style="14"/>
    <col min="3585" max="3585" width="6.5703125" style="14" customWidth="1"/>
    <col min="3586" max="3586" width="28.42578125" style="14" customWidth="1"/>
    <col min="3587" max="3587" width="2.7109375" style="14" customWidth="1"/>
    <col min="3588" max="3588" width="13.5703125" style="14" customWidth="1"/>
    <col min="3589" max="3589" width="5.42578125" style="14" customWidth="1"/>
    <col min="3590" max="3590" width="11.42578125" style="14" customWidth="1"/>
    <col min="3591" max="3591" width="11.7109375" style="14" customWidth="1"/>
    <col min="3592" max="3592" width="13.85546875" style="14" customWidth="1"/>
    <col min="3593" max="3601" width="10.28515625" style="14" customWidth="1"/>
    <col min="3602" max="3602" width="6.5703125" style="14" customWidth="1"/>
    <col min="3603" max="3603" width="28.42578125" style="14" customWidth="1"/>
    <col min="3604" max="3604" width="2.7109375" style="14" customWidth="1"/>
    <col min="3605" max="3605" width="13.5703125" style="14" customWidth="1"/>
    <col min="3606" max="3606" width="5.42578125" style="14" customWidth="1"/>
    <col min="3607" max="3608" width="10.28515625" style="14" customWidth="1"/>
    <col min="3609" max="3609" width="12.140625" style="14" customWidth="1"/>
    <col min="3610" max="3612" width="10.28515625" style="14" customWidth="1"/>
    <col min="3613" max="3614" width="11.28515625" style="14" customWidth="1"/>
    <col min="3615" max="3615" width="10.7109375" style="14" customWidth="1"/>
    <col min="3616" max="3618" width="10.28515625" style="14" customWidth="1"/>
    <col min="3619" max="3840" width="9.140625" style="14"/>
    <col min="3841" max="3841" width="6.5703125" style="14" customWidth="1"/>
    <col min="3842" max="3842" width="28.42578125" style="14" customWidth="1"/>
    <col min="3843" max="3843" width="2.7109375" style="14" customWidth="1"/>
    <col min="3844" max="3844" width="13.5703125" style="14" customWidth="1"/>
    <col min="3845" max="3845" width="5.42578125" style="14" customWidth="1"/>
    <col min="3846" max="3846" width="11.42578125" style="14" customWidth="1"/>
    <col min="3847" max="3847" width="11.7109375" style="14" customWidth="1"/>
    <col min="3848" max="3848" width="13.85546875" style="14" customWidth="1"/>
    <col min="3849" max="3857" width="10.28515625" style="14" customWidth="1"/>
    <col min="3858" max="3858" width="6.5703125" style="14" customWidth="1"/>
    <col min="3859" max="3859" width="28.42578125" style="14" customWidth="1"/>
    <col min="3860" max="3860" width="2.7109375" style="14" customWidth="1"/>
    <col min="3861" max="3861" width="13.5703125" style="14" customWidth="1"/>
    <col min="3862" max="3862" width="5.42578125" style="14" customWidth="1"/>
    <col min="3863" max="3864" width="10.28515625" style="14" customWidth="1"/>
    <col min="3865" max="3865" width="12.140625" style="14" customWidth="1"/>
    <col min="3866" max="3868" width="10.28515625" style="14" customWidth="1"/>
    <col min="3869" max="3870" width="11.28515625" style="14" customWidth="1"/>
    <col min="3871" max="3871" width="10.7109375" style="14" customWidth="1"/>
    <col min="3872" max="3874" width="10.28515625" style="14" customWidth="1"/>
    <col min="3875" max="4096" width="9.140625" style="14"/>
    <col min="4097" max="4097" width="6.5703125" style="14" customWidth="1"/>
    <col min="4098" max="4098" width="28.42578125" style="14" customWidth="1"/>
    <col min="4099" max="4099" width="2.7109375" style="14" customWidth="1"/>
    <col min="4100" max="4100" width="13.5703125" style="14" customWidth="1"/>
    <col min="4101" max="4101" width="5.42578125" style="14" customWidth="1"/>
    <col min="4102" max="4102" width="11.42578125" style="14" customWidth="1"/>
    <col min="4103" max="4103" width="11.7109375" style="14" customWidth="1"/>
    <col min="4104" max="4104" width="13.85546875" style="14" customWidth="1"/>
    <col min="4105" max="4113" width="10.28515625" style="14" customWidth="1"/>
    <col min="4114" max="4114" width="6.5703125" style="14" customWidth="1"/>
    <col min="4115" max="4115" width="28.42578125" style="14" customWidth="1"/>
    <col min="4116" max="4116" width="2.7109375" style="14" customWidth="1"/>
    <col min="4117" max="4117" width="13.5703125" style="14" customWidth="1"/>
    <col min="4118" max="4118" width="5.42578125" style="14" customWidth="1"/>
    <col min="4119" max="4120" width="10.28515625" style="14" customWidth="1"/>
    <col min="4121" max="4121" width="12.140625" style="14" customWidth="1"/>
    <col min="4122" max="4124" width="10.28515625" style="14" customWidth="1"/>
    <col min="4125" max="4126" width="11.28515625" style="14" customWidth="1"/>
    <col min="4127" max="4127" width="10.7109375" style="14" customWidth="1"/>
    <col min="4128" max="4130" width="10.28515625" style="14" customWidth="1"/>
    <col min="4131" max="4352" width="9.140625" style="14"/>
    <col min="4353" max="4353" width="6.5703125" style="14" customWidth="1"/>
    <col min="4354" max="4354" width="28.42578125" style="14" customWidth="1"/>
    <col min="4355" max="4355" width="2.7109375" style="14" customWidth="1"/>
    <col min="4356" max="4356" width="13.5703125" style="14" customWidth="1"/>
    <col min="4357" max="4357" width="5.42578125" style="14" customWidth="1"/>
    <col min="4358" max="4358" width="11.42578125" style="14" customWidth="1"/>
    <col min="4359" max="4359" width="11.7109375" style="14" customWidth="1"/>
    <col min="4360" max="4360" width="13.85546875" style="14" customWidth="1"/>
    <col min="4361" max="4369" width="10.28515625" style="14" customWidth="1"/>
    <col min="4370" max="4370" width="6.5703125" style="14" customWidth="1"/>
    <col min="4371" max="4371" width="28.42578125" style="14" customWidth="1"/>
    <col min="4372" max="4372" width="2.7109375" style="14" customWidth="1"/>
    <col min="4373" max="4373" width="13.5703125" style="14" customWidth="1"/>
    <col min="4374" max="4374" width="5.42578125" style="14" customWidth="1"/>
    <col min="4375" max="4376" width="10.28515625" style="14" customWidth="1"/>
    <col min="4377" max="4377" width="12.140625" style="14" customWidth="1"/>
    <col min="4378" max="4380" width="10.28515625" style="14" customWidth="1"/>
    <col min="4381" max="4382" width="11.28515625" style="14" customWidth="1"/>
    <col min="4383" max="4383" width="10.7109375" style="14" customWidth="1"/>
    <col min="4384" max="4386" width="10.28515625" style="14" customWidth="1"/>
    <col min="4387" max="4608" width="9.140625" style="14"/>
    <col min="4609" max="4609" width="6.5703125" style="14" customWidth="1"/>
    <col min="4610" max="4610" width="28.42578125" style="14" customWidth="1"/>
    <col min="4611" max="4611" width="2.7109375" style="14" customWidth="1"/>
    <col min="4612" max="4612" width="13.5703125" style="14" customWidth="1"/>
    <col min="4613" max="4613" width="5.42578125" style="14" customWidth="1"/>
    <col min="4614" max="4614" width="11.42578125" style="14" customWidth="1"/>
    <col min="4615" max="4615" width="11.7109375" style="14" customWidth="1"/>
    <col min="4616" max="4616" width="13.85546875" style="14" customWidth="1"/>
    <col min="4617" max="4625" width="10.28515625" style="14" customWidth="1"/>
    <col min="4626" max="4626" width="6.5703125" style="14" customWidth="1"/>
    <col min="4627" max="4627" width="28.42578125" style="14" customWidth="1"/>
    <col min="4628" max="4628" width="2.7109375" style="14" customWidth="1"/>
    <col min="4629" max="4629" width="13.5703125" style="14" customWidth="1"/>
    <col min="4630" max="4630" width="5.42578125" style="14" customWidth="1"/>
    <col min="4631" max="4632" width="10.28515625" style="14" customWidth="1"/>
    <col min="4633" max="4633" width="12.140625" style="14" customWidth="1"/>
    <col min="4634" max="4636" width="10.28515625" style="14" customWidth="1"/>
    <col min="4637" max="4638" width="11.28515625" style="14" customWidth="1"/>
    <col min="4639" max="4639" width="10.7109375" style="14" customWidth="1"/>
    <col min="4640" max="4642" width="10.28515625" style="14" customWidth="1"/>
    <col min="4643" max="4864" width="9.140625" style="14"/>
    <col min="4865" max="4865" width="6.5703125" style="14" customWidth="1"/>
    <col min="4866" max="4866" width="28.42578125" style="14" customWidth="1"/>
    <col min="4867" max="4867" width="2.7109375" style="14" customWidth="1"/>
    <col min="4868" max="4868" width="13.5703125" style="14" customWidth="1"/>
    <col min="4869" max="4869" width="5.42578125" style="14" customWidth="1"/>
    <col min="4870" max="4870" width="11.42578125" style="14" customWidth="1"/>
    <col min="4871" max="4871" width="11.7109375" style="14" customWidth="1"/>
    <col min="4872" max="4872" width="13.85546875" style="14" customWidth="1"/>
    <col min="4873" max="4881" width="10.28515625" style="14" customWidth="1"/>
    <col min="4882" max="4882" width="6.5703125" style="14" customWidth="1"/>
    <col min="4883" max="4883" width="28.42578125" style="14" customWidth="1"/>
    <col min="4884" max="4884" width="2.7109375" style="14" customWidth="1"/>
    <col min="4885" max="4885" width="13.5703125" style="14" customWidth="1"/>
    <col min="4886" max="4886" width="5.42578125" style="14" customWidth="1"/>
    <col min="4887" max="4888" width="10.28515625" style="14" customWidth="1"/>
    <col min="4889" max="4889" width="12.140625" style="14" customWidth="1"/>
    <col min="4890" max="4892" width="10.28515625" style="14" customWidth="1"/>
    <col min="4893" max="4894" width="11.28515625" style="14" customWidth="1"/>
    <col min="4895" max="4895" width="10.7109375" style="14" customWidth="1"/>
    <col min="4896" max="4898" width="10.28515625" style="14" customWidth="1"/>
    <col min="4899" max="5120" width="9.140625" style="14"/>
    <col min="5121" max="5121" width="6.5703125" style="14" customWidth="1"/>
    <col min="5122" max="5122" width="28.42578125" style="14" customWidth="1"/>
    <col min="5123" max="5123" width="2.7109375" style="14" customWidth="1"/>
    <col min="5124" max="5124" width="13.5703125" style="14" customWidth="1"/>
    <col min="5125" max="5125" width="5.42578125" style="14" customWidth="1"/>
    <col min="5126" max="5126" width="11.42578125" style="14" customWidth="1"/>
    <col min="5127" max="5127" width="11.7109375" style="14" customWidth="1"/>
    <col min="5128" max="5128" width="13.85546875" style="14" customWidth="1"/>
    <col min="5129" max="5137" width="10.28515625" style="14" customWidth="1"/>
    <col min="5138" max="5138" width="6.5703125" style="14" customWidth="1"/>
    <col min="5139" max="5139" width="28.42578125" style="14" customWidth="1"/>
    <col min="5140" max="5140" width="2.7109375" style="14" customWidth="1"/>
    <col min="5141" max="5141" width="13.5703125" style="14" customWidth="1"/>
    <col min="5142" max="5142" width="5.42578125" style="14" customWidth="1"/>
    <col min="5143" max="5144" width="10.28515625" style="14" customWidth="1"/>
    <col min="5145" max="5145" width="12.140625" style="14" customWidth="1"/>
    <col min="5146" max="5148" width="10.28515625" style="14" customWidth="1"/>
    <col min="5149" max="5150" width="11.28515625" style="14" customWidth="1"/>
    <col min="5151" max="5151" width="10.7109375" style="14" customWidth="1"/>
    <col min="5152" max="5154" width="10.28515625" style="14" customWidth="1"/>
    <col min="5155" max="5376" width="9.140625" style="14"/>
    <col min="5377" max="5377" width="6.5703125" style="14" customWidth="1"/>
    <col min="5378" max="5378" width="28.42578125" style="14" customWidth="1"/>
    <col min="5379" max="5379" width="2.7109375" style="14" customWidth="1"/>
    <col min="5380" max="5380" width="13.5703125" style="14" customWidth="1"/>
    <col min="5381" max="5381" width="5.42578125" style="14" customWidth="1"/>
    <col min="5382" max="5382" width="11.42578125" style="14" customWidth="1"/>
    <col min="5383" max="5383" width="11.7109375" style="14" customWidth="1"/>
    <col min="5384" max="5384" width="13.85546875" style="14" customWidth="1"/>
    <col min="5385" max="5393" width="10.28515625" style="14" customWidth="1"/>
    <col min="5394" max="5394" width="6.5703125" style="14" customWidth="1"/>
    <col min="5395" max="5395" width="28.42578125" style="14" customWidth="1"/>
    <col min="5396" max="5396" width="2.7109375" style="14" customWidth="1"/>
    <col min="5397" max="5397" width="13.5703125" style="14" customWidth="1"/>
    <col min="5398" max="5398" width="5.42578125" style="14" customWidth="1"/>
    <col min="5399" max="5400" width="10.28515625" style="14" customWidth="1"/>
    <col min="5401" max="5401" width="12.140625" style="14" customWidth="1"/>
    <col min="5402" max="5404" width="10.28515625" style="14" customWidth="1"/>
    <col min="5405" max="5406" width="11.28515625" style="14" customWidth="1"/>
    <col min="5407" max="5407" width="10.7109375" style="14" customWidth="1"/>
    <col min="5408" max="5410" width="10.28515625" style="14" customWidth="1"/>
    <col min="5411" max="5632" width="9.140625" style="14"/>
    <col min="5633" max="5633" width="6.5703125" style="14" customWidth="1"/>
    <col min="5634" max="5634" width="28.42578125" style="14" customWidth="1"/>
    <col min="5635" max="5635" width="2.7109375" style="14" customWidth="1"/>
    <col min="5636" max="5636" width="13.5703125" style="14" customWidth="1"/>
    <col min="5637" max="5637" width="5.42578125" style="14" customWidth="1"/>
    <col min="5638" max="5638" width="11.42578125" style="14" customWidth="1"/>
    <col min="5639" max="5639" width="11.7109375" style="14" customWidth="1"/>
    <col min="5640" max="5640" width="13.85546875" style="14" customWidth="1"/>
    <col min="5641" max="5649" width="10.28515625" style="14" customWidth="1"/>
    <col min="5650" max="5650" width="6.5703125" style="14" customWidth="1"/>
    <col min="5651" max="5651" width="28.42578125" style="14" customWidth="1"/>
    <col min="5652" max="5652" width="2.7109375" style="14" customWidth="1"/>
    <col min="5653" max="5653" width="13.5703125" style="14" customWidth="1"/>
    <col min="5654" max="5654" width="5.42578125" style="14" customWidth="1"/>
    <col min="5655" max="5656" width="10.28515625" style="14" customWidth="1"/>
    <col min="5657" max="5657" width="12.140625" style="14" customWidth="1"/>
    <col min="5658" max="5660" width="10.28515625" style="14" customWidth="1"/>
    <col min="5661" max="5662" width="11.28515625" style="14" customWidth="1"/>
    <col min="5663" max="5663" width="10.7109375" style="14" customWidth="1"/>
    <col min="5664" max="5666" width="10.28515625" style="14" customWidth="1"/>
    <col min="5667" max="5888" width="9.140625" style="14"/>
    <col min="5889" max="5889" width="6.5703125" style="14" customWidth="1"/>
    <col min="5890" max="5890" width="28.42578125" style="14" customWidth="1"/>
    <col min="5891" max="5891" width="2.7109375" style="14" customWidth="1"/>
    <col min="5892" max="5892" width="13.5703125" style="14" customWidth="1"/>
    <col min="5893" max="5893" width="5.42578125" style="14" customWidth="1"/>
    <col min="5894" max="5894" width="11.42578125" style="14" customWidth="1"/>
    <col min="5895" max="5895" width="11.7109375" style="14" customWidth="1"/>
    <col min="5896" max="5896" width="13.85546875" style="14" customWidth="1"/>
    <col min="5897" max="5905" width="10.28515625" style="14" customWidth="1"/>
    <col min="5906" max="5906" width="6.5703125" style="14" customWidth="1"/>
    <col min="5907" max="5907" width="28.42578125" style="14" customWidth="1"/>
    <col min="5908" max="5908" width="2.7109375" style="14" customWidth="1"/>
    <col min="5909" max="5909" width="13.5703125" style="14" customWidth="1"/>
    <col min="5910" max="5910" width="5.42578125" style="14" customWidth="1"/>
    <col min="5911" max="5912" width="10.28515625" style="14" customWidth="1"/>
    <col min="5913" max="5913" width="12.140625" style="14" customWidth="1"/>
    <col min="5914" max="5916" width="10.28515625" style="14" customWidth="1"/>
    <col min="5917" max="5918" width="11.28515625" style="14" customWidth="1"/>
    <col min="5919" max="5919" width="10.7109375" style="14" customWidth="1"/>
    <col min="5920" max="5922" width="10.28515625" style="14" customWidth="1"/>
    <col min="5923" max="6144" width="9.140625" style="14"/>
    <col min="6145" max="6145" width="6.5703125" style="14" customWidth="1"/>
    <col min="6146" max="6146" width="28.42578125" style="14" customWidth="1"/>
    <col min="6147" max="6147" width="2.7109375" style="14" customWidth="1"/>
    <col min="6148" max="6148" width="13.5703125" style="14" customWidth="1"/>
    <col min="6149" max="6149" width="5.42578125" style="14" customWidth="1"/>
    <col min="6150" max="6150" width="11.42578125" style="14" customWidth="1"/>
    <col min="6151" max="6151" width="11.7109375" style="14" customWidth="1"/>
    <col min="6152" max="6152" width="13.85546875" style="14" customWidth="1"/>
    <col min="6153" max="6161" width="10.28515625" style="14" customWidth="1"/>
    <col min="6162" max="6162" width="6.5703125" style="14" customWidth="1"/>
    <col min="6163" max="6163" width="28.42578125" style="14" customWidth="1"/>
    <col min="6164" max="6164" width="2.7109375" style="14" customWidth="1"/>
    <col min="6165" max="6165" width="13.5703125" style="14" customWidth="1"/>
    <col min="6166" max="6166" width="5.42578125" style="14" customWidth="1"/>
    <col min="6167" max="6168" width="10.28515625" style="14" customWidth="1"/>
    <col min="6169" max="6169" width="12.140625" style="14" customWidth="1"/>
    <col min="6170" max="6172" width="10.28515625" style="14" customWidth="1"/>
    <col min="6173" max="6174" width="11.28515625" style="14" customWidth="1"/>
    <col min="6175" max="6175" width="10.7109375" style="14" customWidth="1"/>
    <col min="6176" max="6178" width="10.28515625" style="14" customWidth="1"/>
    <col min="6179" max="6400" width="9.140625" style="14"/>
    <col min="6401" max="6401" width="6.5703125" style="14" customWidth="1"/>
    <col min="6402" max="6402" width="28.42578125" style="14" customWidth="1"/>
    <col min="6403" max="6403" width="2.7109375" style="14" customWidth="1"/>
    <col min="6404" max="6404" width="13.5703125" style="14" customWidth="1"/>
    <col min="6405" max="6405" width="5.42578125" style="14" customWidth="1"/>
    <col min="6406" max="6406" width="11.42578125" style="14" customWidth="1"/>
    <col min="6407" max="6407" width="11.7109375" style="14" customWidth="1"/>
    <col min="6408" max="6408" width="13.85546875" style="14" customWidth="1"/>
    <col min="6409" max="6417" width="10.28515625" style="14" customWidth="1"/>
    <col min="6418" max="6418" width="6.5703125" style="14" customWidth="1"/>
    <col min="6419" max="6419" width="28.42578125" style="14" customWidth="1"/>
    <col min="6420" max="6420" width="2.7109375" style="14" customWidth="1"/>
    <col min="6421" max="6421" width="13.5703125" style="14" customWidth="1"/>
    <col min="6422" max="6422" width="5.42578125" style="14" customWidth="1"/>
    <col min="6423" max="6424" width="10.28515625" style="14" customWidth="1"/>
    <col min="6425" max="6425" width="12.140625" style="14" customWidth="1"/>
    <col min="6426" max="6428" width="10.28515625" style="14" customWidth="1"/>
    <col min="6429" max="6430" width="11.28515625" style="14" customWidth="1"/>
    <col min="6431" max="6431" width="10.7109375" style="14" customWidth="1"/>
    <col min="6432" max="6434" width="10.28515625" style="14" customWidth="1"/>
    <col min="6435" max="6656" width="9.140625" style="14"/>
    <col min="6657" max="6657" width="6.5703125" style="14" customWidth="1"/>
    <col min="6658" max="6658" width="28.42578125" style="14" customWidth="1"/>
    <col min="6659" max="6659" width="2.7109375" style="14" customWidth="1"/>
    <col min="6660" max="6660" width="13.5703125" style="14" customWidth="1"/>
    <col min="6661" max="6661" width="5.42578125" style="14" customWidth="1"/>
    <col min="6662" max="6662" width="11.42578125" style="14" customWidth="1"/>
    <col min="6663" max="6663" width="11.7109375" style="14" customWidth="1"/>
    <col min="6664" max="6664" width="13.85546875" style="14" customWidth="1"/>
    <col min="6665" max="6673" width="10.28515625" style="14" customWidth="1"/>
    <col min="6674" max="6674" width="6.5703125" style="14" customWidth="1"/>
    <col min="6675" max="6675" width="28.42578125" style="14" customWidth="1"/>
    <col min="6676" max="6676" width="2.7109375" style="14" customWidth="1"/>
    <col min="6677" max="6677" width="13.5703125" style="14" customWidth="1"/>
    <col min="6678" max="6678" width="5.42578125" style="14" customWidth="1"/>
    <col min="6679" max="6680" width="10.28515625" style="14" customWidth="1"/>
    <col min="6681" max="6681" width="12.140625" style="14" customWidth="1"/>
    <col min="6682" max="6684" width="10.28515625" style="14" customWidth="1"/>
    <col min="6685" max="6686" width="11.28515625" style="14" customWidth="1"/>
    <col min="6687" max="6687" width="10.7109375" style="14" customWidth="1"/>
    <col min="6688" max="6690" width="10.28515625" style="14" customWidth="1"/>
    <col min="6691" max="6912" width="9.140625" style="14"/>
    <col min="6913" max="6913" width="6.5703125" style="14" customWidth="1"/>
    <col min="6914" max="6914" width="28.42578125" style="14" customWidth="1"/>
    <col min="6915" max="6915" width="2.7109375" style="14" customWidth="1"/>
    <col min="6916" max="6916" width="13.5703125" style="14" customWidth="1"/>
    <col min="6917" max="6917" width="5.42578125" style="14" customWidth="1"/>
    <col min="6918" max="6918" width="11.42578125" style="14" customWidth="1"/>
    <col min="6919" max="6919" width="11.7109375" style="14" customWidth="1"/>
    <col min="6920" max="6920" width="13.85546875" style="14" customWidth="1"/>
    <col min="6921" max="6929" width="10.28515625" style="14" customWidth="1"/>
    <col min="6930" max="6930" width="6.5703125" style="14" customWidth="1"/>
    <col min="6931" max="6931" width="28.42578125" style="14" customWidth="1"/>
    <col min="6932" max="6932" width="2.7109375" style="14" customWidth="1"/>
    <col min="6933" max="6933" width="13.5703125" style="14" customWidth="1"/>
    <col min="6934" max="6934" width="5.42578125" style="14" customWidth="1"/>
    <col min="6935" max="6936" width="10.28515625" style="14" customWidth="1"/>
    <col min="6937" max="6937" width="12.140625" style="14" customWidth="1"/>
    <col min="6938" max="6940" width="10.28515625" style="14" customWidth="1"/>
    <col min="6941" max="6942" width="11.28515625" style="14" customWidth="1"/>
    <col min="6943" max="6943" width="10.7109375" style="14" customWidth="1"/>
    <col min="6944" max="6946" width="10.28515625" style="14" customWidth="1"/>
    <col min="6947" max="7168" width="9.140625" style="14"/>
    <col min="7169" max="7169" width="6.5703125" style="14" customWidth="1"/>
    <col min="7170" max="7170" width="28.42578125" style="14" customWidth="1"/>
    <col min="7171" max="7171" width="2.7109375" style="14" customWidth="1"/>
    <col min="7172" max="7172" width="13.5703125" style="14" customWidth="1"/>
    <col min="7173" max="7173" width="5.42578125" style="14" customWidth="1"/>
    <col min="7174" max="7174" width="11.42578125" style="14" customWidth="1"/>
    <col min="7175" max="7175" width="11.7109375" style="14" customWidth="1"/>
    <col min="7176" max="7176" width="13.85546875" style="14" customWidth="1"/>
    <col min="7177" max="7185" width="10.28515625" style="14" customWidth="1"/>
    <col min="7186" max="7186" width="6.5703125" style="14" customWidth="1"/>
    <col min="7187" max="7187" width="28.42578125" style="14" customWidth="1"/>
    <col min="7188" max="7188" width="2.7109375" style="14" customWidth="1"/>
    <col min="7189" max="7189" width="13.5703125" style="14" customWidth="1"/>
    <col min="7190" max="7190" width="5.42578125" style="14" customWidth="1"/>
    <col min="7191" max="7192" width="10.28515625" style="14" customWidth="1"/>
    <col min="7193" max="7193" width="12.140625" style="14" customWidth="1"/>
    <col min="7194" max="7196" width="10.28515625" style="14" customWidth="1"/>
    <col min="7197" max="7198" width="11.28515625" style="14" customWidth="1"/>
    <col min="7199" max="7199" width="10.7109375" style="14" customWidth="1"/>
    <col min="7200" max="7202" width="10.28515625" style="14" customWidth="1"/>
    <col min="7203" max="7424" width="9.140625" style="14"/>
    <col min="7425" max="7425" width="6.5703125" style="14" customWidth="1"/>
    <col min="7426" max="7426" width="28.42578125" style="14" customWidth="1"/>
    <col min="7427" max="7427" width="2.7109375" style="14" customWidth="1"/>
    <col min="7428" max="7428" width="13.5703125" style="14" customWidth="1"/>
    <col min="7429" max="7429" width="5.42578125" style="14" customWidth="1"/>
    <col min="7430" max="7430" width="11.42578125" style="14" customWidth="1"/>
    <col min="7431" max="7431" width="11.7109375" style="14" customWidth="1"/>
    <col min="7432" max="7432" width="13.85546875" style="14" customWidth="1"/>
    <col min="7433" max="7441" width="10.28515625" style="14" customWidth="1"/>
    <col min="7442" max="7442" width="6.5703125" style="14" customWidth="1"/>
    <col min="7443" max="7443" width="28.42578125" style="14" customWidth="1"/>
    <col min="7444" max="7444" width="2.7109375" style="14" customWidth="1"/>
    <col min="7445" max="7445" width="13.5703125" style="14" customWidth="1"/>
    <col min="7446" max="7446" width="5.42578125" style="14" customWidth="1"/>
    <col min="7447" max="7448" width="10.28515625" style="14" customWidth="1"/>
    <col min="7449" max="7449" width="12.140625" style="14" customWidth="1"/>
    <col min="7450" max="7452" width="10.28515625" style="14" customWidth="1"/>
    <col min="7453" max="7454" width="11.28515625" style="14" customWidth="1"/>
    <col min="7455" max="7455" width="10.7109375" style="14" customWidth="1"/>
    <col min="7456" max="7458" width="10.28515625" style="14" customWidth="1"/>
    <col min="7459" max="7680" width="9.140625" style="14"/>
    <col min="7681" max="7681" width="6.5703125" style="14" customWidth="1"/>
    <col min="7682" max="7682" width="28.42578125" style="14" customWidth="1"/>
    <col min="7683" max="7683" width="2.7109375" style="14" customWidth="1"/>
    <col min="7684" max="7684" width="13.5703125" style="14" customWidth="1"/>
    <col min="7685" max="7685" width="5.42578125" style="14" customWidth="1"/>
    <col min="7686" max="7686" width="11.42578125" style="14" customWidth="1"/>
    <col min="7687" max="7687" width="11.7109375" style="14" customWidth="1"/>
    <col min="7688" max="7688" width="13.85546875" style="14" customWidth="1"/>
    <col min="7689" max="7697" width="10.28515625" style="14" customWidth="1"/>
    <col min="7698" max="7698" width="6.5703125" style="14" customWidth="1"/>
    <col min="7699" max="7699" width="28.42578125" style="14" customWidth="1"/>
    <col min="7700" max="7700" width="2.7109375" style="14" customWidth="1"/>
    <col min="7701" max="7701" width="13.5703125" style="14" customWidth="1"/>
    <col min="7702" max="7702" width="5.42578125" style="14" customWidth="1"/>
    <col min="7703" max="7704" width="10.28515625" style="14" customWidth="1"/>
    <col min="7705" max="7705" width="12.140625" style="14" customWidth="1"/>
    <col min="7706" max="7708" width="10.28515625" style="14" customWidth="1"/>
    <col min="7709" max="7710" width="11.28515625" style="14" customWidth="1"/>
    <col min="7711" max="7711" width="10.7109375" style="14" customWidth="1"/>
    <col min="7712" max="7714" width="10.28515625" style="14" customWidth="1"/>
    <col min="7715" max="7936" width="9.140625" style="14"/>
    <col min="7937" max="7937" width="6.5703125" style="14" customWidth="1"/>
    <col min="7938" max="7938" width="28.42578125" style="14" customWidth="1"/>
    <col min="7939" max="7939" width="2.7109375" style="14" customWidth="1"/>
    <col min="7940" max="7940" width="13.5703125" style="14" customWidth="1"/>
    <col min="7941" max="7941" width="5.42578125" style="14" customWidth="1"/>
    <col min="7942" max="7942" width="11.42578125" style="14" customWidth="1"/>
    <col min="7943" max="7943" width="11.7109375" style="14" customWidth="1"/>
    <col min="7944" max="7944" width="13.85546875" style="14" customWidth="1"/>
    <col min="7945" max="7953" width="10.28515625" style="14" customWidth="1"/>
    <col min="7954" max="7954" width="6.5703125" style="14" customWidth="1"/>
    <col min="7955" max="7955" width="28.42578125" style="14" customWidth="1"/>
    <col min="7956" max="7956" width="2.7109375" style="14" customWidth="1"/>
    <col min="7957" max="7957" width="13.5703125" style="14" customWidth="1"/>
    <col min="7958" max="7958" width="5.42578125" style="14" customWidth="1"/>
    <col min="7959" max="7960" width="10.28515625" style="14" customWidth="1"/>
    <col min="7961" max="7961" width="12.140625" style="14" customWidth="1"/>
    <col min="7962" max="7964" width="10.28515625" style="14" customWidth="1"/>
    <col min="7965" max="7966" width="11.28515625" style="14" customWidth="1"/>
    <col min="7967" max="7967" width="10.7109375" style="14" customWidth="1"/>
    <col min="7968" max="7970" width="10.28515625" style="14" customWidth="1"/>
    <col min="7971" max="8192" width="9.140625" style="14"/>
    <col min="8193" max="8193" width="6.5703125" style="14" customWidth="1"/>
    <col min="8194" max="8194" width="28.42578125" style="14" customWidth="1"/>
    <col min="8195" max="8195" width="2.7109375" style="14" customWidth="1"/>
    <col min="8196" max="8196" width="13.5703125" style="14" customWidth="1"/>
    <col min="8197" max="8197" width="5.42578125" style="14" customWidth="1"/>
    <col min="8198" max="8198" width="11.42578125" style="14" customWidth="1"/>
    <col min="8199" max="8199" width="11.7109375" style="14" customWidth="1"/>
    <col min="8200" max="8200" width="13.85546875" style="14" customWidth="1"/>
    <col min="8201" max="8209" width="10.28515625" style="14" customWidth="1"/>
    <col min="8210" max="8210" width="6.5703125" style="14" customWidth="1"/>
    <col min="8211" max="8211" width="28.42578125" style="14" customWidth="1"/>
    <col min="8212" max="8212" width="2.7109375" style="14" customWidth="1"/>
    <col min="8213" max="8213" width="13.5703125" style="14" customWidth="1"/>
    <col min="8214" max="8214" width="5.42578125" style="14" customWidth="1"/>
    <col min="8215" max="8216" width="10.28515625" style="14" customWidth="1"/>
    <col min="8217" max="8217" width="12.140625" style="14" customWidth="1"/>
    <col min="8218" max="8220" width="10.28515625" style="14" customWidth="1"/>
    <col min="8221" max="8222" width="11.28515625" style="14" customWidth="1"/>
    <col min="8223" max="8223" width="10.7109375" style="14" customWidth="1"/>
    <col min="8224" max="8226" width="10.28515625" style="14" customWidth="1"/>
    <col min="8227" max="8448" width="9.140625" style="14"/>
    <col min="8449" max="8449" width="6.5703125" style="14" customWidth="1"/>
    <col min="8450" max="8450" width="28.42578125" style="14" customWidth="1"/>
    <col min="8451" max="8451" width="2.7109375" style="14" customWidth="1"/>
    <col min="8452" max="8452" width="13.5703125" style="14" customWidth="1"/>
    <col min="8453" max="8453" width="5.42578125" style="14" customWidth="1"/>
    <col min="8454" max="8454" width="11.42578125" style="14" customWidth="1"/>
    <col min="8455" max="8455" width="11.7109375" style="14" customWidth="1"/>
    <col min="8456" max="8456" width="13.85546875" style="14" customWidth="1"/>
    <col min="8457" max="8465" width="10.28515625" style="14" customWidth="1"/>
    <col min="8466" max="8466" width="6.5703125" style="14" customWidth="1"/>
    <col min="8467" max="8467" width="28.42578125" style="14" customWidth="1"/>
    <col min="8468" max="8468" width="2.7109375" style="14" customWidth="1"/>
    <col min="8469" max="8469" width="13.5703125" style="14" customWidth="1"/>
    <col min="8470" max="8470" width="5.42578125" style="14" customWidth="1"/>
    <col min="8471" max="8472" width="10.28515625" style="14" customWidth="1"/>
    <col min="8473" max="8473" width="12.140625" style="14" customWidth="1"/>
    <col min="8474" max="8476" width="10.28515625" style="14" customWidth="1"/>
    <col min="8477" max="8478" width="11.28515625" style="14" customWidth="1"/>
    <col min="8479" max="8479" width="10.7109375" style="14" customWidth="1"/>
    <col min="8480" max="8482" width="10.28515625" style="14" customWidth="1"/>
    <col min="8483" max="8704" width="9.140625" style="14"/>
    <col min="8705" max="8705" width="6.5703125" style="14" customWidth="1"/>
    <col min="8706" max="8706" width="28.42578125" style="14" customWidth="1"/>
    <col min="8707" max="8707" width="2.7109375" style="14" customWidth="1"/>
    <col min="8708" max="8708" width="13.5703125" style="14" customWidth="1"/>
    <col min="8709" max="8709" width="5.42578125" style="14" customWidth="1"/>
    <col min="8710" max="8710" width="11.42578125" style="14" customWidth="1"/>
    <col min="8711" max="8711" width="11.7109375" style="14" customWidth="1"/>
    <col min="8712" max="8712" width="13.85546875" style="14" customWidth="1"/>
    <col min="8713" max="8721" width="10.28515625" style="14" customWidth="1"/>
    <col min="8722" max="8722" width="6.5703125" style="14" customWidth="1"/>
    <col min="8723" max="8723" width="28.42578125" style="14" customWidth="1"/>
    <col min="8724" max="8724" width="2.7109375" style="14" customWidth="1"/>
    <col min="8725" max="8725" width="13.5703125" style="14" customWidth="1"/>
    <col min="8726" max="8726" width="5.42578125" style="14" customWidth="1"/>
    <col min="8727" max="8728" width="10.28515625" style="14" customWidth="1"/>
    <col min="8729" max="8729" width="12.140625" style="14" customWidth="1"/>
    <col min="8730" max="8732" width="10.28515625" style="14" customWidth="1"/>
    <col min="8733" max="8734" width="11.28515625" style="14" customWidth="1"/>
    <col min="8735" max="8735" width="10.7109375" style="14" customWidth="1"/>
    <col min="8736" max="8738" width="10.28515625" style="14" customWidth="1"/>
    <col min="8739" max="8960" width="9.140625" style="14"/>
    <col min="8961" max="8961" width="6.5703125" style="14" customWidth="1"/>
    <col min="8962" max="8962" width="28.42578125" style="14" customWidth="1"/>
    <col min="8963" max="8963" width="2.7109375" style="14" customWidth="1"/>
    <col min="8964" max="8964" width="13.5703125" style="14" customWidth="1"/>
    <col min="8965" max="8965" width="5.42578125" style="14" customWidth="1"/>
    <col min="8966" max="8966" width="11.42578125" style="14" customWidth="1"/>
    <col min="8967" max="8967" width="11.7109375" style="14" customWidth="1"/>
    <col min="8968" max="8968" width="13.85546875" style="14" customWidth="1"/>
    <col min="8969" max="8977" width="10.28515625" style="14" customWidth="1"/>
    <col min="8978" max="8978" width="6.5703125" style="14" customWidth="1"/>
    <col min="8979" max="8979" width="28.42578125" style="14" customWidth="1"/>
    <col min="8980" max="8980" width="2.7109375" style="14" customWidth="1"/>
    <col min="8981" max="8981" width="13.5703125" style="14" customWidth="1"/>
    <col min="8982" max="8982" width="5.42578125" style="14" customWidth="1"/>
    <col min="8983" max="8984" width="10.28515625" style="14" customWidth="1"/>
    <col min="8985" max="8985" width="12.140625" style="14" customWidth="1"/>
    <col min="8986" max="8988" width="10.28515625" style="14" customWidth="1"/>
    <col min="8989" max="8990" width="11.28515625" style="14" customWidth="1"/>
    <col min="8991" max="8991" width="10.7109375" style="14" customWidth="1"/>
    <col min="8992" max="8994" width="10.28515625" style="14" customWidth="1"/>
    <col min="8995" max="9216" width="9.140625" style="14"/>
    <col min="9217" max="9217" width="6.5703125" style="14" customWidth="1"/>
    <col min="9218" max="9218" width="28.42578125" style="14" customWidth="1"/>
    <col min="9219" max="9219" width="2.7109375" style="14" customWidth="1"/>
    <col min="9220" max="9220" width="13.5703125" style="14" customWidth="1"/>
    <col min="9221" max="9221" width="5.42578125" style="14" customWidth="1"/>
    <col min="9222" max="9222" width="11.42578125" style="14" customWidth="1"/>
    <col min="9223" max="9223" width="11.7109375" style="14" customWidth="1"/>
    <col min="9224" max="9224" width="13.85546875" style="14" customWidth="1"/>
    <col min="9225" max="9233" width="10.28515625" style="14" customWidth="1"/>
    <col min="9234" max="9234" width="6.5703125" style="14" customWidth="1"/>
    <col min="9235" max="9235" width="28.42578125" style="14" customWidth="1"/>
    <col min="9236" max="9236" width="2.7109375" style="14" customWidth="1"/>
    <col min="9237" max="9237" width="13.5703125" style="14" customWidth="1"/>
    <col min="9238" max="9238" width="5.42578125" style="14" customWidth="1"/>
    <col min="9239" max="9240" width="10.28515625" style="14" customWidth="1"/>
    <col min="9241" max="9241" width="12.140625" style="14" customWidth="1"/>
    <col min="9242" max="9244" width="10.28515625" style="14" customWidth="1"/>
    <col min="9245" max="9246" width="11.28515625" style="14" customWidth="1"/>
    <col min="9247" max="9247" width="10.7109375" style="14" customWidth="1"/>
    <col min="9248" max="9250" width="10.28515625" style="14" customWidth="1"/>
    <col min="9251" max="9472" width="9.140625" style="14"/>
    <col min="9473" max="9473" width="6.5703125" style="14" customWidth="1"/>
    <col min="9474" max="9474" width="28.42578125" style="14" customWidth="1"/>
    <col min="9475" max="9475" width="2.7109375" style="14" customWidth="1"/>
    <col min="9476" max="9476" width="13.5703125" style="14" customWidth="1"/>
    <col min="9477" max="9477" width="5.42578125" style="14" customWidth="1"/>
    <col min="9478" max="9478" width="11.42578125" style="14" customWidth="1"/>
    <col min="9479" max="9479" width="11.7109375" style="14" customWidth="1"/>
    <col min="9480" max="9480" width="13.85546875" style="14" customWidth="1"/>
    <col min="9481" max="9489" width="10.28515625" style="14" customWidth="1"/>
    <col min="9490" max="9490" width="6.5703125" style="14" customWidth="1"/>
    <col min="9491" max="9491" width="28.42578125" style="14" customWidth="1"/>
    <col min="9492" max="9492" width="2.7109375" style="14" customWidth="1"/>
    <col min="9493" max="9493" width="13.5703125" style="14" customWidth="1"/>
    <col min="9494" max="9494" width="5.42578125" style="14" customWidth="1"/>
    <col min="9495" max="9496" width="10.28515625" style="14" customWidth="1"/>
    <col min="9497" max="9497" width="12.140625" style="14" customWidth="1"/>
    <col min="9498" max="9500" width="10.28515625" style="14" customWidth="1"/>
    <col min="9501" max="9502" width="11.28515625" style="14" customWidth="1"/>
    <col min="9503" max="9503" width="10.7109375" style="14" customWidth="1"/>
    <col min="9504" max="9506" width="10.28515625" style="14" customWidth="1"/>
    <col min="9507" max="9728" width="9.140625" style="14"/>
    <col min="9729" max="9729" width="6.5703125" style="14" customWidth="1"/>
    <col min="9730" max="9730" width="28.42578125" style="14" customWidth="1"/>
    <col min="9731" max="9731" width="2.7109375" style="14" customWidth="1"/>
    <col min="9732" max="9732" width="13.5703125" style="14" customWidth="1"/>
    <col min="9733" max="9733" width="5.42578125" style="14" customWidth="1"/>
    <col min="9734" max="9734" width="11.42578125" style="14" customWidth="1"/>
    <col min="9735" max="9735" width="11.7109375" style="14" customWidth="1"/>
    <col min="9736" max="9736" width="13.85546875" style="14" customWidth="1"/>
    <col min="9737" max="9745" width="10.28515625" style="14" customWidth="1"/>
    <col min="9746" max="9746" width="6.5703125" style="14" customWidth="1"/>
    <col min="9747" max="9747" width="28.42578125" style="14" customWidth="1"/>
    <col min="9748" max="9748" width="2.7109375" style="14" customWidth="1"/>
    <col min="9749" max="9749" width="13.5703125" style="14" customWidth="1"/>
    <col min="9750" max="9750" width="5.42578125" style="14" customWidth="1"/>
    <col min="9751" max="9752" width="10.28515625" style="14" customWidth="1"/>
    <col min="9753" max="9753" width="12.140625" style="14" customWidth="1"/>
    <col min="9754" max="9756" width="10.28515625" style="14" customWidth="1"/>
    <col min="9757" max="9758" width="11.28515625" style="14" customWidth="1"/>
    <col min="9759" max="9759" width="10.7109375" style="14" customWidth="1"/>
    <col min="9760" max="9762" width="10.28515625" style="14" customWidth="1"/>
    <col min="9763" max="9984" width="9.140625" style="14"/>
    <col min="9985" max="9985" width="6.5703125" style="14" customWidth="1"/>
    <col min="9986" max="9986" width="28.42578125" style="14" customWidth="1"/>
    <col min="9987" max="9987" width="2.7109375" style="14" customWidth="1"/>
    <col min="9988" max="9988" width="13.5703125" style="14" customWidth="1"/>
    <col min="9989" max="9989" width="5.42578125" style="14" customWidth="1"/>
    <col min="9990" max="9990" width="11.42578125" style="14" customWidth="1"/>
    <col min="9991" max="9991" width="11.7109375" style="14" customWidth="1"/>
    <col min="9992" max="9992" width="13.85546875" style="14" customWidth="1"/>
    <col min="9993" max="10001" width="10.28515625" style="14" customWidth="1"/>
    <col min="10002" max="10002" width="6.5703125" style="14" customWidth="1"/>
    <col min="10003" max="10003" width="28.42578125" style="14" customWidth="1"/>
    <col min="10004" max="10004" width="2.7109375" style="14" customWidth="1"/>
    <col min="10005" max="10005" width="13.5703125" style="14" customWidth="1"/>
    <col min="10006" max="10006" width="5.42578125" style="14" customWidth="1"/>
    <col min="10007" max="10008" width="10.28515625" style="14" customWidth="1"/>
    <col min="10009" max="10009" width="12.140625" style="14" customWidth="1"/>
    <col min="10010" max="10012" width="10.28515625" style="14" customWidth="1"/>
    <col min="10013" max="10014" width="11.28515625" style="14" customWidth="1"/>
    <col min="10015" max="10015" width="10.7109375" style="14" customWidth="1"/>
    <col min="10016" max="10018" width="10.28515625" style="14" customWidth="1"/>
    <col min="10019" max="10240" width="9.140625" style="14"/>
    <col min="10241" max="10241" width="6.5703125" style="14" customWidth="1"/>
    <col min="10242" max="10242" width="28.42578125" style="14" customWidth="1"/>
    <col min="10243" max="10243" width="2.7109375" style="14" customWidth="1"/>
    <col min="10244" max="10244" width="13.5703125" style="14" customWidth="1"/>
    <col min="10245" max="10245" width="5.42578125" style="14" customWidth="1"/>
    <col min="10246" max="10246" width="11.42578125" style="14" customWidth="1"/>
    <col min="10247" max="10247" width="11.7109375" style="14" customWidth="1"/>
    <col min="10248" max="10248" width="13.85546875" style="14" customWidth="1"/>
    <col min="10249" max="10257" width="10.28515625" style="14" customWidth="1"/>
    <col min="10258" max="10258" width="6.5703125" style="14" customWidth="1"/>
    <col min="10259" max="10259" width="28.42578125" style="14" customWidth="1"/>
    <col min="10260" max="10260" width="2.7109375" style="14" customWidth="1"/>
    <col min="10261" max="10261" width="13.5703125" style="14" customWidth="1"/>
    <col min="10262" max="10262" width="5.42578125" style="14" customWidth="1"/>
    <col min="10263" max="10264" width="10.28515625" style="14" customWidth="1"/>
    <col min="10265" max="10265" width="12.140625" style="14" customWidth="1"/>
    <col min="10266" max="10268" width="10.28515625" style="14" customWidth="1"/>
    <col min="10269" max="10270" width="11.28515625" style="14" customWidth="1"/>
    <col min="10271" max="10271" width="10.7109375" style="14" customWidth="1"/>
    <col min="10272" max="10274" width="10.28515625" style="14" customWidth="1"/>
    <col min="10275" max="10496" width="9.140625" style="14"/>
    <col min="10497" max="10497" width="6.5703125" style="14" customWidth="1"/>
    <col min="10498" max="10498" width="28.42578125" style="14" customWidth="1"/>
    <col min="10499" max="10499" width="2.7109375" style="14" customWidth="1"/>
    <col min="10500" max="10500" width="13.5703125" style="14" customWidth="1"/>
    <col min="10501" max="10501" width="5.42578125" style="14" customWidth="1"/>
    <col min="10502" max="10502" width="11.42578125" style="14" customWidth="1"/>
    <col min="10503" max="10503" width="11.7109375" style="14" customWidth="1"/>
    <col min="10504" max="10504" width="13.85546875" style="14" customWidth="1"/>
    <col min="10505" max="10513" width="10.28515625" style="14" customWidth="1"/>
    <col min="10514" max="10514" width="6.5703125" style="14" customWidth="1"/>
    <col min="10515" max="10515" width="28.42578125" style="14" customWidth="1"/>
    <col min="10516" max="10516" width="2.7109375" style="14" customWidth="1"/>
    <col min="10517" max="10517" width="13.5703125" style="14" customWidth="1"/>
    <col min="10518" max="10518" width="5.42578125" style="14" customWidth="1"/>
    <col min="10519" max="10520" width="10.28515625" style="14" customWidth="1"/>
    <col min="10521" max="10521" width="12.140625" style="14" customWidth="1"/>
    <col min="10522" max="10524" width="10.28515625" style="14" customWidth="1"/>
    <col min="10525" max="10526" width="11.28515625" style="14" customWidth="1"/>
    <col min="10527" max="10527" width="10.7109375" style="14" customWidth="1"/>
    <col min="10528" max="10530" width="10.28515625" style="14" customWidth="1"/>
    <col min="10531" max="10752" width="9.140625" style="14"/>
    <col min="10753" max="10753" width="6.5703125" style="14" customWidth="1"/>
    <col min="10754" max="10754" width="28.42578125" style="14" customWidth="1"/>
    <col min="10755" max="10755" width="2.7109375" style="14" customWidth="1"/>
    <col min="10756" max="10756" width="13.5703125" style="14" customWidth="1"/>
    <col min="10757" max="10757" width="5.42578125" style="14" customWidth="1"/>
    <col min="10758" max="10758" width="11.42578125" style="14" customWidth="1"/>
    <col min="10759" max="10759" width="11.7109375" style="14" customWidth="1"/>
    <col min="10760" max="10760" width="13.85546875" style="14" customWidth="1"/>
    <col min="10761" max="10769" width="10.28515625" style="14" customWidth="1"/>
    <col min="10770" max="10770" width="6.5703125" style="14" customWidth="1"/>
    <col min="10771" max="10771" width="28.42578125" style="14" customWidth="1"/>
    <col min="10772" max="10772" width="2.7109375" style="14" customWidth="1"/>
    <col min="10773" max="10773" width="13.5703125" style="14" customWidth="1"/>
    <col min="10774" max="10774" width="5.42578125" style="14" customWidth="1"/>
    <col min="10775" max="10776" width="10.28515625" style="14" customWidth="1"/>
    <col min="10777" max="10777" width="12.140625" style="14" customWidth="1"/>
    <col min="10778" max="10780" width="10.28515625" style="14" customWidth="1"/>
    <col min="10781" max="10782" width="11.28515625" style="14" customWidth="1"/>
    <col min="10783" max="10783" width="10.7109375" style="14" customWidth="1"/>
    <col min="10784" max="10786" width="10.28515625" style="14" customWidth="1"/>
    <col min="10787" max="11008" width="9.140625" style="14"/>
    <col min="11009" max="11009" width="6.5703125" style="14" customWidth="1"/>
    <col min="11010" max="11010" width="28.42578125" style="14" customWidth="1"/>
    <col min="11011" max="11011" width="2.7109375" style="14" customWidth="1"/>
    <col min="11012" max="11012" width="13.5703125" style="14" customWidth="1"/>
    <col min="11013" max="11013" width="5.42578125" style="14" customWidth="1"/>
    <col min="11014" max="11014" width="11.42578125" style="14" customWidth="1"/>
    <col min="11015" max="11015" width="11.7109375" style="14" customWidth="1"/>
    <col min="11016" max="11016" width="13.85546875" style="14" customWidth="1"/>
    <col min="11017" max="11025" width="10.28515625" style="14" customWidth="1"/>
    <col min="11026" max="11026" width="6.5703125" style="14" customWidth="1"/>
    <col min="11027" max="11027" width="28.42578125" style="14" customWidth="1"/>
    <col min="11028" max="11028" width="2.7109375" style="14" customWidth="1"/>
    <col min="11029" max="11029" width="13.5703125" style="14" customWidth="1"/>
    <col min="11030" max="11030" width="5.42578125" style="14" customWidth="1"/>
    <col min="11031" max="11032" width="10.28515625" style="14" customWidth="1"/>
    <col min="11033" max="11033" width="12.140625" style="14" customWidth="1"/>
    <col min="11034" max="11036" width="10.28515625" style="14" customWidth="1"/>
    <col min="11037" max="11038" width="11.28515625" style="14" customWidth="1"/>
    <col min="11039" max="11039" width="10.7109375" style="14" customWidth="1"/>
    <col min="11040" max="11042" width="10.28515625" style="14" customWidth="1"/>
    <col min="11043" max="11264" width="9.140625" style="14"/>
    <col min="11265" max="11265" width="6.5703125" style="14" customWidth="1"/>
    <col min="11266" max="11266" width="28.42578125" style="14" customWidth="1"/>
    <col min="11267" max="11267" width="2.7109375" style="14" customWidth="1"/>
    <col min="11268" max="11268" width="13.5703125" style="14" customWidth="1"/>
    <col min="11269" max="11269" width="5.42578125" style="14" customWidth="1"/>
    <col min="11270" max="11270" width="11.42578125" style="14" customWidth="1"/>
    <col min="11271" max="11271" width="11.7109375" style="14" customWidth="1"/>
    <col min="11272" max="11272" width="13.85546875" style="14" customWidth="1"/>
    <col min="11273" max="11281" width="10.28515625" style="14" customWidth="1"/>
    <col min="11282" max="11282" width="6.5703125" style="14" customWidth="1"/>
    <col min="11283" max="11283" width="28.42578125" style="14" customWidth="1"/>
    <col min="11284" max="11284" width="2.7109375" style="14" customWidth="1"/>
    <col min="11285" max="11285" width="13.5703125" style="14" customWidth="1"/>
    <col min="11286" max="11286" width="5.42578125" style="14" customWidth="1"/>
    <col min="11287" max="11288" width="10.28515625" style="14" customWidth="1"/>
    <col min="11289" max="11289" width="12.140625" style="14" customWidth="1"/>
    <col min="11290" max="11292" width="10.28515625" style="14" customWidth="1"/>
    <col min="11293" max="11294" width="11.28515625" style="14" customWidth="1"/>
    <col min="11295" max="11295" width="10.7109375" style="14" customWidth="1"/>
    <col min="11296" max="11298" width="10.28515625" style="14" customWidth="1"/>
    <col min="11299" max="11520" width="9.140625" style="14"/>
    <col min="11521" max="11521" width="6.5703125" style="14" customWidth="1"/>
    <col min="11522" max="11522" width="28.42578125" style="14" customWidth="1"/>
    <col min="11523" max="11523" width="2.7109375" style="14" customWidth="1"/>
    <col min="11524" max="11524" width="13.5703125" style="14" customWidth="1"/>
    <col min="11525" max="11525" width="5.42578125" style="14" customWidth="1"/>
    <col min="11526" max="11526" width="11.42578125" style="14" customWidth="1"/>
    <col min="11527" max="11527" width="11.7109375" style="14" customWidth="1"/>
    <col min="11528" max="11528" width="13.85546875" style="14" customWidth="1"/>
    <col min="11529" max="11537" width="10.28515625" style="14" customWidth="1"/>
    <col min="11538" max="11538" width="6.5703125" style="14" customWidth="1"/>
    <col min="11539" max="11539" width="28.42578125" style="14" customWidth="1"/>
    <col min="11540" max="11540" width="2.7109375" style="14" customWidth="1"/>
    <col min="11541" max="11541" width="13.5703125" style="14" customWidth="1"/>
    <col min="11542" max="11542" width="5.42578125" style="14" customWidth="1"/>
    <col min="11543" max="11544" width="10.28515625" style="14" customWidth="1"/>
    <col min="11545" max="11545" width="12.140625" style="14" customWidth="1"/>
    <col min="11546" max="11548" width="10.28515625" style="14" customWidth="1"/>
    <col min="11549" max="11550" width="11.28515625" style="14" customWidth="1"/>
    <col min="11551" max="11551" width="10.7109375" style="14" customWidth="1"/>
    <col min="11552" max="11554" width="10.28515625" style="14" customWidth="1"/>
    <col min="11555" max="11776" width="9.140625" style="14"/>
    <col min="11777" max="11777" width="6.5703125" style="14" customWidth="1"/>
    <col min="11778" max="11778" width="28.42578125" style="14" customWidth="1"/>
    <col min="11779" max="11779" width="2.7109375" style="14" customWidth="1"/>
    <col min="11780" max="11780" width="13.5703125" style="14" customWidth="1"/>
    <col min="11781" max="11781" width="5.42578125" style="14" customWidth="1"/>
    <col min="11782" max="11782" width="11.42578125" style="14" customWidth="1"/>
    <col min="11783" max="11783" width="11.7109375" style="14" customWidth="1"/>
    <col min="11784" max="11784" width="13.85546875" style="14" customWidth="1"/>
    <col min="11785" max="11793" width="10.28515625" style="14" customWidth="1"/>
    <col min="11794" max="11794" width="6.5703125" style="14" customWidth="1"/>
    <col min="11795" max="11795" width="28.42578125" style="14" customWidth="1"/>
    <col min="11796" max="11796" width="2.7109375" style="14" customWidth="1"/>
    <col min="11797" max="11797" width="13.5703125" style="14" customWidth="1"/>
    <col min="11798" max="11798" width="5.42578125" style="14" customWidth="1"/>
    <col min="11799" max="11800" width="10.28515625" style="14" customWidth="1"/>
    <col min="11801" max="11801" width="12.140625" style="14" customWidth="1"/>
    <col min="11802" max="11804" width="10.28515625" style="14" customWidth="1"/>
    <col min="11805" max="11806" width="11.28515625" style="14" customWidth="1"/>
    <col min="11807" max="11807" width="10.7109375" style="14" customWidth="1"/>
    <col min="11808" max="11810" width="10.28515625" style="14" customWidth="1"/>
    <col min="11811" max="12032" width="9.140625" style="14"/>
    <col min="12033" max="12033" width="6.5703125" style="14" customWidth="1"/>
    <col min="12034" max="12034" width="28.42578125" style="14" customWidth="1"/>
    <col min="12035" max="12035" width="2.7109375" style="14" customWidth="1"/>
    <col min="12036" max="12036" width="13.5703125" style="14" customWidth="1"/>
    <col min="12037" max="12037" width="5.42578125" style="14" customWidth="1"/>
    <col min="12038" max="12038" width="11.42578125" style="14" customWidth="1"/>
    <col min="12039" max="12039" width="11.7109375" style="14" customWidth="1"/>
    <col min="12040" max="12040" width="13.85546875" style="14" customWidth="1"/>
    <col min="12041" max="12049" width="10.28515625" style="14" customWidth="1"/>
    <col min="12050" max="12050" width="6.5703125" style="14" customWidth="1"/>
    <col min="12051" max="12051" width="28.42578125" style="14" customWidth="1"/>
    <col min="12052" max="12052" width="2.7109375" style="14" customWidth="1"/>
    <col min="12053" max="12053" width="13.5703125" style="14" customWidth="1"/>
    <col min="12054" max="12054" width="5.42578125" style="14" customWidth="1"/>
    <col min="12055" max="12056" width="10.28515625" style="14" customWidth="1"/>
    <col min="12057" max="12057" width="12.140625" style="14" customWidth="1"/>
    <col min="12058" max="12060" width="10.28515625" style="14" customWidth="1"/>
    <col min="12061" max="12062" width="11.28515625" style="14" customWidth="1"/>
    <col min="12063" max="12063" width="10.7109375" style="14" customWidth="1"/>
    <col min="12064" max="12066" width="10.28515625" style="14" customWidth="1"/>
    <col min="12067" max="12288" width="9.140625" style="14"/>
    <col min="12289" max="12289" width="6.5703125" style="14" customWidth="1"/>
    <col min="12290" max="12290" width="28.42578125" style="14" customWidth="1"/>
    <col min="12291" max="12291" width="2.7109375" style="14" customWidth="1"/>
    <col min="12292" max="12292" width="13.5703125" style="14" customWidth="1"/>
    <col min="12293" max="12293" width="5.42578125" style="14" customWidth="1"/>
    <col min="12294" max="12294" width="11.42578125" style="14" customWidth="1"/>
    <col min="12295" max="12295" width="11.7109375" style="14" customWidth="1"/>
    <col min="12296" max="12296" width="13.85546875" style="14" customWidth="1"/>
    <col min="12297" max="12305" width="10.28515625" style="14" customWidth="1"/>
    <col min="12306" max="12306" width="6.5703125" style="14" customWidth="1"/>
    <col min="12307" max="12307" width="28.42578125" style="14" customWidth="1"/>
    <col min="12308" max="12308" width="2.7109375" style="14" customWidth="1"/>
    <col min="12309" max="12309" width="13.5703125" style="14" customWidth="1"/>
    <col min="12310" max="12310" width="5.42578125" style="14" customWidth="1"/>
    <col min="12311" max="12312" width="10.28515625" style="14" customWidth="1"/>
    <col min="12313" max="12313" width="12.140625" style="14" customWidth="1"/>
    <col min="12314" max="12316" width="10.28515625" style="14" customWidth="1"/>
    <col min="12317" max="12318" width="11.28515625" style="14" customWidth="1"/>
    <col min="12319" max="12319" width="10.7109375" style="14" customWidth="1"/>
    <col min="12320" max="12322" width="10.28515625" style="14" customWidth="1"/>
    <col min="12323" max="12544" width="9.140625" style="14"/>
    <col min="12545" max="12545" width="6.5703125" style="14" customWidth="1"/>
    <col min="12546" max="12546" width="28.42578125" style="14" customWidth="1"/>
    <col min="12547" max="12547" width="2.7109375" style="14" customWidth="1"/>
    <col min="12548" max="12548" width="13.5703125" style="14" customWidth="1"/>
    <col min="12549" max="12549" width="5.42578125" style="14" customWidth="1"/>
    <col min="12550" max="12550" width="11.42578125" style="14" customWidth="1"/>
    <col min="12551" max="12551" width="11.7109375" style="14" customWidth="1"/>
    <col min="12552" max="12552" width="13.85546875" style="14" customWidth="1"/>
    <col min="12553" max="12561" width="10.28515625" style="14" customWidth="1"/>
    <col min="12562" max="12562" width="6.5703125" style="14" customWidth="1"/>
    <col min="12563" max="12563" width="28.42578125" style="14" customWidth="1"/>
    <col min="12564" max="12564" width="2.7109375" style="14" customWidth="1"/>
    <col min="12565" max="12565" width="13.5703125" style="14" customWidth="1"/>
    <col min="12566" max="12566" width="5.42578125" style="14" customWidth="1"/>
    <col min="12567" max="12568" width="10.28515625" style="14" customWidth="1"/>
    <col min="12569" max="12569" width="12.140625" style="14" customWidth="1"/>
    <col min="12570" max="12572" width="10.28515625" style="14" customWidth="1"/>
    <col min="12573" max="12574" width="11.28515625" style="14" customWidth="1"/>
    <col min="12575" max="12575" width="10.7109375" style="14" customWidth="1"/>
    <col min="12576" max="12578" width="10.28515625" style="14" customWidth="1"/>
    <col min="12579" max="12800" width="9.140625" style="14"/>
    <col min="12801" max="12801" width="6.5703125" style="14" customWidth="1"/>
    <col min="12802" max="12802" width="28.42578125" style="14" customWidth="1"/>
    <col min="12803" max="12803" width="2.7109375" style="14" customWidth="1"/>
    <col min="12804" max="12804" width="13.5703125" style="14" customWidth="1"/>
    <col min="12805" max="12805" width="5.42578125" style="14" customWidth="1"/>
    <col min="12806" max="12806" width="11.42578125" style="14" customWidth="1"/>
    <col min="12807" max="12807" width="11.7109375" style="14" customWidth="1"/>
    <col min="12808" max="12808" width="13.85546875" style="14" customWidth="1"/>
    <col min="12809" max="12817" width="10.28515625" style="14" customWidth="1"/>
    <col min="12818" max="12818" width="6.5703125" style="14" customWidth="1"/>
    <col min="12819" max="12819" width="28.42578125" style="14" customWidth="1"/>
    <col min="12820" max="12820" width="2.7109375" style="14" customWidth="1"/>
    <col min="12821" max="12821" width="13.5703125" style="14" customWidth="1"/>
    <col min="12822" max="12822" width="5.42578125" style="14" customWidth="1"/>
    <col min="12823" max="12824" width="10.28515625" style="14" customWidth="1"/>
    <col min="12825" max="12825" width="12.140625" style="14" customWidth="1"/>
    <col min="12826" max="12828" width="10.28515625" style="14" customWidth="1"/>
    <col min="12829" max="12830" width="11.28515625" style="14" customWidth="1"/>
    <col min="12831" max="12831" width="10.7109375" style="14" customWidth="1"/>
    <col min="12832" max="12834" width="10.28515625" style="14" customWidth="1"/>
    <col min="12835" max="13056" width="9.140625" style="14"/>
    <col min="13057" max="13057" width="6.5703125" style="14" customWidth="1"/>
    <col min="13058" max="13058" width="28.42578125" style="14" customWidth="1"/>
    <col min="13059" max="13059" width="2.7109375" style="14" customWidth="1"/>
    <col min="13060" max="13060" width="13.5703125" style="14" customWidth="1"/>
    <col min="13061" max="13061" width="5.42578125" style="14" customWidth="1"/>
    <col min="13062" max="13062" width="11.42578125" style="14" customWidth="1"/>
    <col min="13063" max="13063" width="11.7109375" style="14" customWidth="1"/>
    <col min="13064" max="13064" width="13.85546875" style="14" customWidth="1"/>
    <col min="13065" max="13073" width="10.28515625" style="14" customWidth="1"/>
    <col min="13074" max="13074" width="6.5703125" style="14" customWidth="1"/>
    <col min="13075" max="13075" width="28.42578125" style="14" customWidth="1"/>
    <col min="13076" max="13076" width="2.7109375" style="14" customWidth="1"/>
    <col min="13077" max="13077" width="13.5703125" style="14" customWidth="1"/>
    <col min="13078" max="13078" width="5.42578125" style="14" customWidth="1"/>
    <col min="13079" max="13080" width="10.28515625" style="14" customWidth="1"/>
    <col min="13081" max="13081" width="12.140625" style="14" customWidth="1"/>
    <col min="13082" max="13084" width="10.28515625" style="14" customWidth="1"/>
    <col min="13085" max="13086" width="11.28515625" style="14" customWidth="1"/>
    <col min="13087" max="13087" width="10.7109375" style="14" customWidth="1"/>
    <col min="13088" max="13090" width="10.28515625" style="14" customWidth="1"/>
    <col min="13091" max="13312" width="9.140625" style="14"/>
    <col min="13313" max="13313" width="6.5703125" style="14" customWidth="1"/>
    <col min="13314" max="13314" width="28.42578125" style="14" customWidth="1"/>
    <col min="13315" max="13315" width="2.7109375" style="14" customWidth="1"/>
    <col min="13316" max="13316" width="13.5703125" style="14" customWidth="1"/>
    <col min="13317" max="13317" width="5.42578125" style="14" customWidth="1"/>
    <col min="13318" max="13318" width="11.42578125" style="14" customWidth="1"/>
    <col min="13319" max="13319" width="11.7109375" style="14" customWidth="1"/>
    <col min="13320" max="13320" width="13.85546875" style="14" customWidth="1"/>
    <col min="13321" max="13329" width="10.28515625" style="14" customWidth="1"/>
    <col min="13330" max="13330" width="6.5703125" style="14" customWidth="1"/>
    <col min="13331" max="13331" width="28.42578125" style="14" customWidth="1"/>
    <col min="13332" max="13332" width="2.7109375" style="14" customWidth="1"/>
    <col min="13333" max="13333" width="13.5703125" style="14" customWidth="1"/>
    <col min="13334" max="13334" width="5.42578125" style="14" customWidth="1"/>
    <col min="13335" max="13336" width="10.28515625" style="14" customWidth="1"/>
    <col min="13337" max="13337" width="12.140625" style="14" customWidth="1"/>
    <col min="13338" max="13340" width="10.28515625" style="14" customWidth="1"/>
    <col min="13341" max="13342" width="11.28515625" style="14" customWidth="1"/>
    <col min="13343" max="13343" width="10.7109375" style="14" customWidth="1"/>
    <col min="13344" max="13346" width="10.28515625" style="14" customWidth="1"/>
    <col min="13347" max="13568" width="9.140625" style="14"/>
    <col min="13569" max="13569" width="6.5703125" style="14" customWidth="1"/>
    <col min="13570" max="13570" width="28.42578125" style="14" customWidth="1"/>
    <col min="13571" max="13571" width="2.7109375" style="14" customWidth="1"/>
    <col min="13572" max="13572" width="13.5703125" style="14" customWidth="1"/>
    <col min="13573" max="13573" width="5.42578125" style="14" customWidth="1"/>
    <col min="13574" max="13574" width="11.42578125" style="14" customWidth="1"/>
    <col min="13575" max="13575" width="11.7109375" style="14" customWidth="1"/>
    <col min="13576" max="13576" width="13.85546875" style="14" customWidth="1"/>
    <col min="13577" max="13585" width="10.28515625" style="14" customWidth="1"/>
    <col min="13586" max="13586" width="6.5703125" style="14" customWidth="1"/>
    <col min="13587" max="13587" width="28.42578125" style="14" customWidth="1"/>
    <col min="13588" max="13588" width="2.7109375" style="14" customWidth="1"/>
    <col min="13589" max="13589" width="13.5703125" style="14" customWidth="1"/>
    <col min="13590" max="13590" width="5.42578125" style="14" customWidth="1"/>
    <col min="13591" max="13592" width="10.28515625" style="14" customWidth="1"/>
    <col min="13593" max="13593" width="12.140625" style="14" customWidth="1"/>
    <col min="13594" max="13596" width="10.28515625" style="14" customWidth="1"/>
    <col min="13597" max="13598" width="11.28515625" style="14" customWidth="1"/>
    <col min="13599" max="13599" width="10.7109375" style="14" customWidth="1"/>
    <col min="13600" max="13602" width="10.28515625" style="14" customWidth="1"/>
    <col min="13603" max="13824" width="9.140625" style="14"/>
    <col min="13825" max="13825" width="6.5703125" style="14" customWidth="1"/>
    <col min="13826" max="13826" width="28.42578125" style="14" customWidth="1"/>
    <col min="13827" max="13827" width="2.7109375" style="14" customWidth="1"/>
    <col min="13828" max="13828" width="13.5703125" style="14" customWidth="1"/>
    <col min="13829" max="13829" width="5.42578125" style="14" customWidth="1"/>
    <col min="13830" max="13830" width="11.42578125" style="14" customWidth="1"/>
    <col min="13831" max="13831" width="11.7109375" style="14" customWidth="1"/>
    <col min="13832" max="13832" width="13.85546875" style="14" customWidth="1"/>
    <col min="13833" max="13841" width="10.28515625" style="14" customWidth="1"/>
    <col min="13842" max="13842" width="6.5703125" style="14" customWidth="1"/>
    <col min="13843" max="13843" width="28.42578125" style="14" customWidth="1"/>
    <col min="13844" max="13844" width="2.7109375" style="14" customWidth="1"/>
    <col min="13845" max="13845" width="13.5703125" style="14" customWidth="1"/>
    <col min="13846" max="13846" width="5.42578125" style="14" customWidth="1"/>
    <col min="13847" max="13848" width="10.28515625" style="14" customWidth="1"/>
    <col min="13849" max="13849" width="12.140625" style="14" customWidth="1"/>
    <col min="13850" max="13852" width="10.28515625" style="14" customWidth="1"/>
    <col min="13853" max="13854" width="11.28515625" style="14" customWidth="1"/>
    <col min="13855" max="13855" width="10.7109375" style="14" customWidth="1"/>
    <col min="13856" max="13858" width="10.28515625" style="14" customWidth="1"/>
    <col min="13859" max="14080" width="9.140625" style="14"/>
    <col min="14081" max="14081" width="6.5703125" style="14" customWidth="1"/>
    <col min="14082" max="14082" width="28.42578125" style="14" customWidth="1"/>
    <col min="14083" max="14083" width="2.7109375" style="14" customWidth="1"/>
    <col min="14084" max="14084" width="13.5703125" style="14" customWidth="1"/>
    <col min="14085" max="14085" width="5.42578125" style="14" customWidth="1"/>
    <col min="14086" max="14086" width="11.42578125" style="14" customWidth="1"/>
    <col min="14087" max="14087" width="11.7109375" style="14" customWidth="1"/>
    <col min="14088" max="14088" width="13.85546875" style="14" customWidth="1"/>
    <col min="14089" max="14097" width="10.28515625" style="14" customWidth="1"/>
    <col min="14098" max="14098" width="6.5703125" style="14" customWidth="1"/>
    <col min="14099" max="14099" width="28.42578125" style="14" customWidth="1"/>
    <col min="14100" max="14100" width="2.7109375" style="14" customWidth="1"/>
    <col min="14101" max="14101" width="13.5703125" style="14" customWidth="1"/>
    <col min="14102" max="14102" width="5.42578125" style="14" customWidth="1"/>
    <col min="14103" max="14104" width="10.28515625" style="14" customWidth="1"/>
    <col min="14105" max="14105" width="12.140625" style="14" customWidth="1"/>
    <col min="14106" max="14108" width="10.28515625" style="14" customWidth="1"/>
    <col min="14109" max="14110" width="11.28515625" style="14" customWidth="1"/>
    <col min="14111" max="14111" width="10.7109375" style="14" customWidth="1"/>
    <col min="14112" max="14114" width="10.28515625" style="14" customWidth="1"/>
    <col min="14115" max="14336" width="9.140625" style="14"/>
    <col min="14337" max="14337" width="6.5703125" style="14" customWidth="1"/>
    <col min="14338" max="14338" width="28.42578125" style="14" customWidth="1"/>
    <col min="14339" max="14339" width="2.7109375" style="14" customWidth="1"/>
    <col min="14340" max="14340" width="13.5703125" style="14" customWidth="1"/>
    <col min="14341" max="14341" width="5.42578125" style="14" customWidth="1"/>
    <col min="14342" max="14342" width="11.42578125" style="14" customWidth="1"/>
    <col min="14343" max="14343" width="11.7109375" style="14" customWidth="1"/>
    <col min="14344" max="14344" width="13.85546875" style="14" customWidth="1"/>
    <col min="14345" max="14353" width="10.28515625" style="14" customWidth="1"/>
    <col min="14354" max="14354" width="6.5703125" style="14" customWidth="1"/>
    <col min="14355" max="14355" width="28.42578125" style="14" customWidth="1"/>
    <col min="14356" max="14356" width="2.7109375" style="14" customWidth="1"/>
    <col min="14357" max="14357" width="13.5703125" style="14" customWidth="1"/>
    <col min="14358" max="14358" width="5.42578125" style="14" customWidth="1"/>
    <col min="14359" max="14360" width="10.28515625" style="14" customWidth="1"/>
    <col min="14361" max="14361" width="12.140625" style="14" customWidth="1"/>
    <col min="14362" max="14364" width="10.28515625" style="14" customWidth="1"/>
    <col min="14365" max="14366" width="11.28515625" style="14" customWidth="1"/>
    <col min="14367" max="14367" width="10.7109375" style="14" customWidth="1"/>
    <col min="14368" max="14370" width="10.28515625" style="14" customWidth="1"/>
    <col min="14371" max="14592" width="9.140625" style="14"/>
    <col min="14593" max="14593" width="6.5703125" style="14" customWidth="1"/>
    <col min="14594" max="14594" width="28.42578125" style="14" customWidth="1"/>
    <col min="14595" max="14595" width="2.7109375" style="14" customWidth="1"/>
    <col min="14596" max="14596" width="13.5703125" style="14" customWidth="1"/>
    <col min="14597" max="14597" width="5.42578125" style="14" customWidth="1"/>
    <col min="14598" max="14598" width="11.42578125" style="14" customWidth="1"/>
    <col min="14599" max="14599" width="11.7109375" style="14" customWidth="1"/>
    <col min="14600" max="14600" width="13.85546875" style="14" customWidth="1"/>
    <col min="14601" max="14609" width="10.28515625" style="14" customWidth="1"/>
    <col min="14610" max="14610" width="6.5703125" style="14" customWidth="1"/>
    <col min="14611" max="14611" width="28.42578125" style="14" customWidth="1"/>
    <col min="14612" max="14612" width="2.7109375" style="14" customWidth="1"/>
    <col min="14613" max="14613" width="13.5703125" style="14" customWidth="1"/>
    <col min="14614" max="14614" width="5.42578125" style="14" customWidth="1"/>
    <col min="14615" max="14616" width="10.28515625" style="14" customWidth="1"/>
    <col min="14617" max="14617" width="12.140625" style="14" customWidth="1"/>
    <col min="14618" max="14620" width="10.28515625" style="14" customWidth="1"/>
    <col min="14621" max="14622" width="11.28515625" style="14" customWidth="1"/>
    <col min="14623" max="14623" width="10.7109375" style="14" customWidth="1"/>
    <col min="14624" max="14626" width="10.28515625" style="14" customWidth="1"/>
    <col min="14627" max="14848" width="9.140625" style="14"/>
    <col min="14849" max="14849" width="6.5703125" style="14" customWidth="1"/>
    <col min="14850" max="14850" width="28.42578125" style="14" customWidth="1"/>
    <col min="14851" max="14851" width="2.7109375" style="14" customWidth="1"/>
    <col min="14852" max="14852" width="13.5703125" style="14" customWidth="1"/>
    <col min="14853" max="14853" width="5.42578125" style="14" customWidth="1"/>
    <col min="14854" max="14854" width="11.42578125" style="14" customWidth="1"/>
    <col min="14855" max="14855" width="11.7109375" style="14" customWidth="1"/>
    <col min="14856" max="14856" width="13.85546875" style="14" customWidth="1"/>
    <col min="14857" max="14865" width="10.28515625" style="14" customWidth="1"/>
    <col min="14866" max="14866" width="6.5703125" style="14" customWidth="1"/>
    <col min="14867" max="14867" width="28.42578125" style="14" customWidth="1"/>
    <col min="14868" max="14868" width="2.7109375" style="14" customWidth="1"/>
    <col min="14869" max="14869" width="13.5703125" style="14" customWidth="1"/>
    <col min="14870" max="14870" width="5.42578125" style="14" customWidth="1"/>
    <col min="14871" max="14872" width="10.28515625" style="14" customWidth="1"/>
    <col min="14873" max="14873" width="12.140625" style="14" customWidth="1"/>
    <col min="14874" max="14876" width="10.28515625" style="14" customWidth="1"/>
    <col min="14877" max="14878" width="11.28515625" style="14" customWidth="1"/>
    <col min="14879" max="14879" width="10.7109375" style="14" customWidth="1"/>
    <col min="14880" max="14882" width="10.28515625" style="14" customWidth="1"/>
    <col min="14883" max="15104" width="9.140625" style="14"/>
    <col min="15105" max="15105" width="6.5703125" style="14" customWidth="1"/>
    <col min="15106" max="15106" width="28.42578125" style="14" customWidth="1"/>
    <col min="15107" max="15107" width="2.7109375" style="14" customWidth="1"/>
    <col min="15108" max="15108" width="13.5703125" style="14" customWidth="1"/>
    <col min="15109" max="15109" width="5.42578125" style="14" customWidth="1"/>
    <col min="15110" max="15110" width="11.42578125" style="14" customWidth="1"/>
    <col min="15111" max="15111" width="11.7109375" style="14" customWidth="1"/>
    <col min="15112" max="15112" width="13.85546875" style="14" customWidth="1"/>
    <col min="15113" max="15121" width="10.28515625" style="14" customWidth="1"/>
    <col min="15122" max="15122" width="6.5703125" style="14" customWidth="1"/>
    <col min="15123" max="15123" width="28.42578125" style="14" customWidth="1"/>
    <col min="15124" max="15124" width="2.7109375" style="14" customWidth="1"/>
    <col min="15125" max="15125" width="13.5703125" style="14" customWidth="1"/>
    <col min="15126" max="15126" width="5.42578125" style="14" customWidth="1"/>
    <col min="15127" max="15128" width="10.28515625" style="14" customWidth="1"/>
    <col min="15129" max="15129" width="12.140625" style="14" customWidth="1"/>
    <col min="15130" max="15132" width="10.28515625" style="14" customWidth="1"/>
    <col min="15133" max="15134" width="11.28515625" style="14" customWidth="1"/>
    <col min="15135" max="15135" width="10.7109375" style="14" customWidth="1"/>
    <col min="15136" max="15138" width="10.28515625" style="14" customWidth="1"/>
    <col min="15139" max="15360" width="9.140625" style="14"/>
    <col min="15361" max="15361" width="6.5703125" style="14" customWidth="1"/>
    <col min="15362" max="15362" width="28.42578125" style="14" customWidth="1"/>
    <col min="15363" max="15363" width="2.7109375" style="14" customWidth="1"/>
    <col min="15364" max="15364" width="13.5703125" style="14" customWidth="1"/>
    <col min="15365" max="15365" width="5.42578125" style="14" customWidth="1"/>
    <col min="15366" max="15366" width="11.42578125" style="14" customWidth="1"/>
    <col min="15367" max="15367" width="11.7109375" style="14" customWidth="1"/>
    <col min="15368" max="15368" width="13.85546875" style="14" customWidth="1"/>
    <col min="15369" max="15377" width="10.28515625" style="14" customWidth="1"/>
    <col min="15378" max="15378" width="6.5703125" style="14" customWidth="1"/>
    <col min="15379" max="15379" width="28.42578125" style="14" customWidth="1"/>
    <col min="15380" max="15380" width="2.7109375" style="14" customWidth="1"/>
    <col min="15381" max="15381" width="13.5703125" style="14" customWidth="1"/>
    <col min="15382" max="15382" width="5.42578125" style="14" customWidth="1"/>
    <col min="15383" max="15384" width="10.28515625" style="14" customWidth="1"/>
    <col min="15385" max="15385" width="12.140625" style="14" customWidth="1"/>
    <col min="15386" max="15388" width="10.28515625" style="14" customWidth="1"/>
    <col min="15389" max="15390" width="11.28515625" style="14" customWidth="1"/>
    <col min="15391" max="15391" width="10.7109375" style="14" customWidth="1"/>
    <col min="15392" max="15394" width="10.28515625" style="14" customWidth="1"/>
    <col min="15395" max="15616" width="9.140625" style="14"/>
    <col min="15617" max="15617" width="6.5703125" style="14" customWidth="1"/>
    <col min="15618" max="15618" width="28.42578125" style="14" customWidth="1"/>
    <col min="15619" max="15619" width="2.7109375" style="14" customWidth="1"/>
    <col min="15620" max="15620" width="13.5703125" style="14" customWidth="1"/>
    <col min="15621" max="15621" width="5.42578125" style="14" customWidth="1"/>
    <col min="15622" max="15622" width="11.42578125" style="14" customWidth="1"/>
    <col min="15623" max="15623" width="11.7109375" style="14" customWidth="1"/>
    <col min="15624" max="15624" width="13.85546875" style="14" customWidth="1"/>
    <col min="15625" max="15633" width="10.28515625" style="14" customWidth="1"/>
    <col min="15634" max="15634" width="6.5703125" style="14" customWidth="1"/>
    <col min="15635" max="15635" width="28.42578125" style="14" customWidth="1"/>
    <col min="15636" max="15636" width="2.7109375" style="14" customWidth="1"/>
    <col min="15637" max="15637" width="13.5703125" style="14" customWidth="1"/>
    <col min="15638" max="15638" width="5.42578125" style="14" customWidth="1"/>
    <col min="15639" max="15640" width="10.28515625" style="14" customWidth="1"/>
    <col min="15641" max="15641" width="12.140625" style="14" customWidth="1"/>
    <col min="15642" max="15644" width="10.28515625" style="14" customWidth="1"/>
    <col min="15645" max="15646" width="11.28515625" style="14" customWidth="1"/>
    <col min="15647" max="15647" width="10.7109375" style="14" customWidth="1"/>
    <col min="15648" max="15650" width="10.28515625" style="14" customWidth="1"/>
    <col min="15651" max="15872" width="9.140625" style="14"/>
    <col min="15873" max="15873" width="6.5703125" style="14" customWidth="1"/>
    <col min="15874" max="15874" width="28.42578125" style="14" customWidth="1"/>
    <col min="15875" max="15875" width="2.7109375" style="14" customWidth="1"/>
    <col min="15876" max="15876" width="13.5703125" style="14" customWidth="1"/>
    <col min="15877" max="15877" width="5.42578125" style="14" customWidth="1"/>
    <col min="15878" max="15878" width="11.42578125" style="14" customWidth="1"/>
    <col min="15879" max="15879" width="11.7109375" style="14" customWidth="1"/>
    <col min="15880" max="15880" width="13.85546875" style="14" customWidth="1"/>
    <col min="15881" max="15889" width="10.28515625" style="14" customWidth="1"/>
    <col min="15890" max="15890" width="6.5703125" style="14" customWidth="1"/>
    <col min="15891" max="15891" width="28.42578125" style="14" customWidth="1"/>
    <col min="15892" max="15892" width="2.7109375" style="14" customWidth="1"/>
    <col min="15893" max="15893" width="13.5703125" style="14" customWidth="1"/>
    <col min="15894" max="15894" width="5.42578125" style="14" customWidth="1"/>
    <col min="15895" max="15896" width="10.28515625" style="14" customWidth="1"/>
    <col min="15897" max="15897" width="12.140625" style="14" customWidth="1"/>
    <col min="15898" max="15900" width="10.28515625" style="14" customWidth="1"/>
    <col min="15901" max="15902" width="11.28515625" style="14" customWidth="1"/>
    <col min="15903" max="15903" width="10.7109375" style="14" customWidth="1"/>
    <col min="15904" max="15906" width="10.28515625" style="14" customWidth="1"/>
    <col min="15907" max="16128" width="9.140625" style="14"/>
    <col min="16129" max="16129" width="6.5703125" style="14" customWidth="1"/>
    <col min="16130" max="16130" width="28.42578125" style="14" customWidth="1"/>
    <col min="16131" max="16131" width="2.7109375" style="14" customWidth="1"/>
    <col min="16132" max="16132" width="13.5703125" style="14" customWidth="1"/>
    <col min="16133" max="16133" width="5.42578125" style="14" customWidth="1"/>
    <col min="16134" max="16134" width="11.42578125" style="14" customWidth="1"/>
    <col min="16135" max="16135" width="11.7109375" style="14" customWidth="1"/>
    <col min="16136" max="16136" width="13.85546875" style="14" customWidth="1"/>
    <col min="16137" max="16145" width="10.28515625" style="14" customWidth="1"/>
    <col min="16146" max="16146" width="6.5703125" style="14" customWidth="1"/>
    <col min="16147" max="16147" width="28.42578125" style="14" customWidth="1"/>
    <col min="16148" max="16148" width="2.7109375" style="14" customWidth="1"/>
    <col min="16149" max="16149" width="13.5703125" style="14" customWidth="1"/>
    <col min="16150" max="16150" width="5.42578125" style="14" customWidth="1"/>
    <col min="16151" max="16152" width="10.28515625" style="14" customWidth="1"/>
    <col min="16153" max="16153" width="12.140625" style="14" customWidth="1"/>
    <col min="16154" max="16156" width="10.28515625" style="14" customWidth="1"/>
    <col min="16157" max="16158" width="11.28515625" style="14" customWidth="1"/>
    <col min="16159" max="16159" width="10.7109375" style="14" customWidth="1"/>
    <col min="16160" max="16162" width="10.28515625" style="14" customWidth="1"/>
    <col min="16163" max="16384" width="9.140625" style="14"/>
  </cols>
  <sheetData>
    <row r="1" spans="1:31">
      <c r="A1" s="1411" t="s">
        <v>978</v>
      </c>
      <c r="B1" s="1411"/>
      <c r="C1" s="1411"/>
      <c r="D1" s="1411"/>
      <c r="E1" s="1411"/>
      <c r="F1" s="1411"/>
      <c r="G1" s="1411"/>
      <c r="H1" s="1411"/>
      <c r="R1" s="1411" t="s">
        <v>978</v>
      </c>
      <c r="S1" s="1411"/>
      <c r="T1" s="1411"/>
      <c r="U1" s="1411"/>
      <c r="V1" s="1411"/>
      <c r="W1" s="1411"/>
      <c r="X1" s="1411"/>
      <c r="Y1" s="1411"/>
    </row>
    <row r="2" spans="1:31" ht="6.75" customHeight="1">
      <c r="A2" s="15"/>
      <c r="B2" s="15"/>
      <c r="C2" s="15"/>
      <c r="D2" s="15"/>
      <c r="E2" s="15"/>
      <c r="F2" s="15"/>
      <c r="G2" s="15"/>
      <c r="H2" s="15"/>
      <c r="R2" s="15"/>
      <c r="S2" s="15"/>
      <c r="T2" s="15"/>
      <c r="U2" s="15"/>
      <c r="V2" s="15"/>
      <c r="W2" s="15"/>
      <c r="X2" s="15"/>
      <c r="Y2" s="15"/>
    </row>
    <row r="3" spans="1:31" ht="41.25" customHeight="1">
      <c r="A3" s="1644" t="str">
        <f>Титульный!B10</f>
        <v xml:space="preserve"> </v>
      </c>
      <c r="B3" s="1645"/>
      <c r="C3" s="1645"/>
      <c r="D3" s="1645"/>
      <c r="E3" s="1645"/>
      <c r="F3" s="1645"/>
      <c r="G3" s="1645"/>
      <c r="H3" s="1645"/>
      <c r="R3" s="1641" t="str">
        <f>A3</f>
        <v xml:space="preserve"> </v>
      </c>
      <c r="S3" s="1642"/>
      <c r="T3" s="1642"/>
      <c r="U3" s="1642"/>
      <c r="V3" s="1642"/>
      <c r="W3" s="1642"/>
      <c r="X3" s="1642"/>
      <c r="Y3" s="1642"/>
    </row>
    <row r="4" spans="1:31" ht="7.5" customHeight="1">
      <c r="A4" s="15"/>
      <c r="B4" s="15"/>
      <c r="C4" s="15"/>
      <c r="D4" s="15"/>
      <c r="E4" s="15"/>
      <c r="F4" s="15"/>
      <c r="G4" s="15"/>
      <c r="H4" s="15"/>
      <c r="R4" s="15"/>
      <c r="S4" s="15"/>
      <c r="T4" s="15"/>
      <c r="U4" s="15"/>
      <c r="V4" s="15"/>
      <c r="W4" s="15"/>
      <c r="X4" s="15"/>
      <c r="Y4" s="15"/>
    </row>
    <row r="5" spans="1:31" ht="18.75" customHeight="1">
      <c r="A5" s="1411" t="str">
        <f>Титульный!B21</f>
        <v/>
      </c>
      <c r="B5" s="1411"/>
      <c r="C5" s="1411"/>
      <c r="D5" s="1411"/>
      <c r="E5" s="1411"/>
      <c r="F5" s="1411"/>
      <c r="G5" s="1411"/>
      <c r="H5" s="1411"/>
      <c r="R5" s="1411" t="str">
        <f>A5</f>
        <v/>
      </c>
      <c r="S5" s="1411"/>
      <c r="T5" s="1411"/>
      <c r="U5" s="1411"/>
      <c r="V5" s="1411"/>
      <c r="W5" s="1411"/>
      <c r="X5" s="1411"/>
      <c r="Y5" s="1411"/>
    </row>
    <row r="6" spans="1:31">
      <c r="A6" s="16"/>
      <c r="B6" s="16"/>
      <c r="C6" s="16"/>
      <c r="D6" s="16"/>
      <c r="E6" s="16"/>
      <c r="F6" s="16"/>
      <c r="G6" s="16"/>
      <c r="H6" s="16"/>
      <c r="R6" s="16"/>
      <c r="S6" s="16"/>
      <c r="T6" s="16"/>
      <c r="U6" s="16"/>
      <c r="V6" s="16"/>
      <c r="W6" s="16"/>
      <c r="X6" s="16"/>
      <c r="Y6" s="16"/>
    </row>
    <row r="7" spans="1:31">
      <c r="A7" s="607" t="s">
        <v>199</v>
      </c>
      <c r="B7" s="100">
        <f>Титульный!B6</f>
        <v>0</v>
      </c>
      <c r="C7" s="16"/>
      <c r="D7" s="16"/>
      <c r="E7" s="16"/>
      <c r="F7" s="607" t="s">
        <v>200</v>
      </c>
      <c r="G7" s="100">
        <f>Титульный!B7</f>
        <v>0</v>
      </c>
      <c r="H7" s="16"/>
      <c r="R7" s="607" t="s">
        <v>199</v>
      </c>
      <c r="S7" s="100">
        <f>B7</f>
        <v>0</v>
      </c>
      <c r="T7" s="16"/>
      <c r="U7" s="16"/>
      <c r="V7" s="16"/>
      <c r="W7" s="607" t="s">
        <v>200</v>
      </c>
      <c r="X7" s="100">
        <f>G7</f>
        <v>0</v>
      </c>
      <c r="Y7" s="16"/>
    </row>
    <row r="8" spans="1:31">
      <c r="A8" s="16"/>
      <c r="B8" s="16"/>
      <c r="C8" s="16"/>
      <c r="D8" s="16"/>
      <c r="E8" s="16"/>
      <c r="F8" s="16"/>
      <c r="G8" s="16"/>
      <c r="H8" s="16"/>
      <c r="R8" s="445"/>
      <c r="S8" s="445"/>
      <c r="T8" s="445"/>
      <c r="U8" s="445"/>
      <c r="V8" s="445"/>
      <c r="W8" s="445"/>
      <c r="X8" s="445"/>
      <c r="Y8" s="445"/>
    </row>
    <row r="9" spans="1:31" ht="16.5">
      <c r="A9" s="177" t="s">
        <v>956</v>
      </c>
      <c r="B9" s="177"/>
      <c r="C9" s="177"/>
      <c r="D9" s="177"/>
      <c r="E9" s="178"/>
      <c r="F9" s="178"/>
      <c r="G9" s="179"/>
      <c r="H9" s="179"/>
      <c r="I9" s="1128"/>
      <c r="J9" s="1129"/>
      <c r="R9" s="180" t="s">
        <v>956</v>
      </c>
      <c r="S9" s="180"/>
      <c r="T9" s="180"/>
      <c r="U9" s="180"/>
      <c r="V9" s="181"/>
      <c r="W9" s="181"/>
      <c r="X9" s="182"/>
      <c r="Y9" s="182"/>
    </row>
    <row r="10" spans="1:31" ht="17.25" thickBot="1">
      <c r="A10" s="1671"/>
      <c r="B10" s="1671"/>
      <c r="C10" s="1664"/>
      <c r="D10" s="1664"/>
      <c r="E10" s="1664"/>
      <c r="F10" s="1664"/>
      <c r="G10" s="1117"/>
      <c r="H10" s="1117"/>
      <c r="I10" s="1128"/>
      <c r="J10" s="1129"/>
      <c r="R10" s="1672"/>
      <c r="S10" s="1672"/>
      <c r="T10" s="1673"/>
      <c r="U10" s="1673"/>
      <c r="V10" s="1673"/>
      <c r="W10" s="1673"/>
      <c r="X10" s="1118"/>
      <c r="Y10" s="1118"/>
    </row>
    <row r="11" spans="1:31" ht="38.25" customHeight="1">
      <c r="A11" s="1666" t="s">
        <v>957</v>
      </c>
      <c r="B11" s="1666"/>
      <c r="C11" s="1669" t="str">
        <f>Титульный!B10</f>
        <v xml:space="preserve"> </v>
      </c>
      <c r="D11" s="1669"/>
      <c r="E11" s="1669"/>
      <c r="F11" s="1669"/>
      <c r="G11" s="1669"/>
      <c r="H11" s="1669"/>
      <c r="I11" s="1128"/>
      <c r="J11" s="1129"/>
      <c r="R11" s="1666" t="s">
        <v>957</v>
      </c>
      <c r="S11" s="1666"/>
      <c r="T11" s="1669" t="str">
        <f>C11</f>
        <v xml:space="preserve"> </v>
      </c>
      <c r="U11" s="1669"/>
      <c r="V11" s="1669"/>
      <c r="W11" s="1669"/>
      <c r="X11" s="1669"/>
      <c r="Y11" s="1669"/>
    </row>
    <row r="12" spans="1:31" ht="38.25" customHeight="1">
      <c r="A12" s="1666" t="s">
        <v>958</v>
      </c>
      <c r="B12" s="1666"/>
      <c r="C12" s="1670" t="str">
        <f>CONCATENATE('данные об организации'!C5,"    ",'данные об организации'!C6)</f>
        <v xml:space="preserve">    </v>
      </c>
      <c r="D12" s="1670"/>
      <c r="E12" s="1670"/>
      <c r="F12" s="1670"/>
      <c r="G12" s="1670"/>
      <c r="H12" s="1670"/>
      <c r="I12" s="1128"/>
      <c r="J12" s="1129"/>
      <c r="R12" s="1666" t="s">
        <v>958</v>
      </c>
      <c r="S12" s="1666"/>
      <c r="T12" s="1670" t="str">
        <f>C12</f>
        <v xml:space="preserve">    </v>
      </c>
      <c r="U12" s="1670"/>
      <c r="V12" s="1670"/>
      <c r="W12" s="1670"/>
      <c r="X12" s="1670"/>
      <c r="Y12" s="1670"/>
    </row>
    <row r="13" spans="1:31" ht="17.25" customHeight="1">
      <c r="A13" s="1666" t="s">
        <v>18</v>
      </c>
      <c r="B13" s="1666"/>
      <c r="C13" s="1669">
        <f>Титульный!B9</f>
        <v>0</v>
      </c>
      <c r="D13" s="1669"/>
      <c r="E13" s="1669"/>
      <c r="F13" s="1669"/>
      <c r="G13" s="1669"/>
      <c r="H13" s="1669"/>
      <c r="I13" s="1128"/>
      <c r="J13" s="1129"/>
      <c r="R13" s="1666" t="s">
        <v>18</v>
      </c>
      <c r="S13" s="1666"/>
      <c r="T13" s="1669">
        <f>C13</f>
        <v>0</v>
      </c>
      <c r="U13" s="1669"/>
      <c r="V13" s="1669"/>
      <c r="W13" s="1669"/>
      <c r="X13" s="1669"/>
      <c r="Y13" s="1669"/>
      <c r="AC13" s="1323"/>
      <c r="AD13" s="1323"/>
    </row>
    <row r="14" spans="1:31" ht="17.25" customHeight="1">
      <c r="A14" s="1666" t="s">
        <v>959</v>
      </c>
      <c r="B14" s="1666"/>
      <c r="C14" s="1669" t="s">
        <v>189</v>
      </c>
      <c r="D14" s="1669"/>
      <c r="E14" s="1669"/>
      <c r="F14" s="1669"/>
      <c r="G14" s="1669"/>
      <c r="H14" s="1669"/>
      <c r="I14" s="1128"/>
      <c r="J14" s="1129"/>
      <c r="R14" s="1666" t="s">
        <v>959</v>
      </c>
      <c r="S14" s="1666"/>
      <c r="T14" s="1669" t="s">
        <v>189</v>
      </c>
      <c r="U14" s="1669"/>
      <c r="V14" s="1669"/>
      <c r="W14" s="1669"/>
      <c r="X14" s="1669"/>
      <c r="Y14" s="1669"/>
      <c r="AE14" s="1324"/>
    </row>
    <row r="15" spans="1:31" ht="32.25" customHeight="1">
      <c r="A15" s="1666" t="s">
        <v>960</v>
      </c>
      <c r="B15" s="1666"/>
      <c r="C15" s="1638" t="s">
        <v>961</v>
      </c>
      <c r="D15" s="1638"/>
      <c r="E15" s="1638"/>
      <c r="F15" s="1638"/>
      <c r="G15" s="1638"/>
      <c r="H15" s="1638"/>
      <c r="I15" s="1128"/>
      <c r="J15" s="191"/>
      <c r="R15" s="1666" t="s">
        <v>960</v>
      </c>
      <c r="S15" s="1666"/>
      <c r="T15" s="1638" t="s">
        <v>961</v>
      </c>
      <c r="U15" s="1638"/>
      <c r="V15" s="1638"/>
      <c r="W15" s="1638"/>
      <c r="X15" s="1638"/>
      <c r="Y15" s="1638"/>
    </row>
    <row r="16" spans="1:31" ht="41.25" customHeight="1">
      <c r="A16" s="1666" t="s">
        <v>958</v>
      </c>
      <c r="B16" s="1666"/>
      <c r="C16" s="1638" t="s">
        <v>962</v>
      </c>
      <c r="D16" s="1638"/>
      <c r="E16" s="1638"/>
      <c r="F16" s="1638"/>
      <c r="G16" s="1638"/>
      <c r="H16" s="1638"/>
      <c r="I16" s="183"/>
      <c r="J16" s="1129"/>
      <c r="R16" s="1666" t="s">
        <v>958</v>
      </c>
      <c r="S16" s="1666"/>
      <c r="T16" s="1638" t="s">
        <v>962</v>
      </c>
      <c r="U16" s="1638"/>
      <c r="V16" s="1638"/>
      <c r="W16" s="1638"/>
      <c r="X16" s="1638"/>
      <c r="Y16" s="1638"/>
    </row>
    <row r="17" spans="1:32" ht="42.75" customHeight="1" thickBot="1">
      <c r="A17" s="1666" t="s">
        <v>963</v>
      </c>
      <c r="B17" s="1666"/>
      <c r="C17" s="188" t="s">
        <v>964</v>
      </c>
      <c r="D17" s="1325">
        <v>43101</v>
      </c>
      <c r="E17" s="190" t="s">
        <v>965</v>
      </c>
      <c r="F17" s="189">
        <v>43465</v>
      </c>
      <c r="G17" s="190"/>
      <c r="H17" s="192"/>
      <c r="I17" s="1128"/>
      <c r="J17" s="1129"/>
      <c r="R17" s="1666" t="s">
        <v>963</v>
      </c>
      <c r="S17" s="1666"/>
      <c r="T17" s="188" t="s">
        <v>964</v>
      </c>
      <c r="U17" s="1325">
        <v>43101</v>
      </c>
      <c r="V17" s="190" t="s">
        <v>965</v>
      </c>
      <c r="W17" s="189">
        <v>43465</v>
      </c>
      <c r="X17" s="190"/>
      <c r="Y17" s="192"/>
      <c r="AC17" s="446"/>
      <c r="AD17" s="16"/>
      <c r="AE17" s="16"/>
      <c r="AF17" s="16"/>
    </row>
    <row r="18" spans="1:32" ht="16.5">
      <c r="A18" s="1320"/>
      <c r="B18" s="1322"/>
      <c r="C18" s="1667"/>
      <c r="D18" s="1667"/>
      <c r="E18" s="1667"/>
      <c r="F18" s="1667"/>
      <c r="G18" s="1322"/>
      <c r="H18" s="1322"/>
      <c r="I18" s="1128"/>
      <c r="J18" s="1129"/>
      <c r="R18" s="1321"/>
      <c r="S18" s="1326"/>
      <c r="T18" s="1668"/>
      <c r="U18" s="1668"/>
      <c r="V18" s="1668"/>
      <c r="W18" s="1668"/>
      <c r="X18" s="1326"/>
      <c r="Y18" s="1326"/>
      <c r="AC18" s="447">
        <v>43100</v>
      </c>
      <c r="AD18" s="16"/>
      <c r="AE18" s="16"/>
      <c r="AF18" s="16"/>
    </row>
    <row r="19" spans="1:32" ht="16.5">
      <c r="A19" s="177" t="s">
        <v>966</v>
      </c>
      <c r="B19" s="177"/>
      <c r="C19" s="177"/>
      <c r="D19" s="177"/>
      <c r="E19" s="177"/>
      <c r="F19" s="177"/>
      <c r="G19" s="177"/>
      <c r="H19" s="179"/>
      <c r="I19" s="1128"/>
      <c r="J19" s="1129"/>
      <c r="R19" s="180" t="s">
        <v>966</v>
      </c>
      <c r="S19" s="180"/>
      <c r="T19" s="180"/>
      <c r="U19" s="180"/>
      <c r="V19" s="180"/>
      <c r="W19" s="180"/>
      <c r="X19" s="180"/>
      <c r="Y19" s="182"/>
      <c r="AC19" s="16"/>
      <c r="AD19" s="16"/>
      <c r="AE19" s="16"/>
      <c r="AF19" s="16"/>
    </row>
    <row r="20" spans="1:32" ht="16.5">
      <c r="A20" s="179"/>
      <c r="B20" s="1117"/>
      <c r="C20" s="1664"/>
      <c r="D20" s="1664"/>
      <c r="E20" s="1664"/>
      <c r="F20" s="1664"/>
      <c r="G20" s="1117"/>
      <c r="H20" s="1117"/>
      <c r="I20" s="1128"/>
      <c r="J20" s="1129"/>
      <c r="R20" s="182"/>
      <c r="S20" s="1120"/>
      <c r="T20" s="1665"/>
      <c r="U20" s="1665"/>
      <c r="V20" s="1665"/>
      <c r="W20" s="1665"/>
      <c r="X20" s="1120"/>
      <c r="Y20" s="1120"/>
      <c r="AC20" s="448">
        <f>(1+(AC18-U17))/365</f>
        <v>0</v>
      </c>
      <c r="AD20" s="16" t="s">
        <v>967</v>
      </c>
      <c r="AE20" s="16"/>
      <c r="AF20" s="16"/>
    </row>
    <row r="21" spans="1:32" ht="30" customHeight="1">
      <c r="A21" s="1638" t="s">
        <v>183</v>
      </c>
      <c r="B21" s="1638" t="s">
        <v>968</v>
      </c>
      <c r="C21" s="1638"/>
      <c r="D21" s="1638"/>
      <c r="E21" s="1638"/>
      <c r="F21" s="1638" t="s">
        <v>977</v>
      </c>
      <c r="G21" s="1638"/>
      <c r="H21" s="1638"/>
      <c r="I21" s="1128"/>
      <c r="J21" s="1129"/>
      <c r="R21" s="1632" t="s">
        <v>183</v>
      </c>
      <c r="S21" s="1632" t="s">
        <v>968</v>
      </c>
      <c r="T21" s="1632"/>
      <c r="U21" s="1632"/>
      <c r="V21" s="1632"/>
      <c r="W21" s="1632"/>
      <c r="X21" s="1638" t="s">
        <v>977</v>
      </c>
      <c r="Y21" s="1638"/>
      <c r="AC21" s="16"/>
      <c r="AD21" s="16"/>
      <c r="AE21" s="16"/>
      <c r="AF21" s="16"/>
    </row>
    <row r="22" spans="1:32" ht="58.5" customHeight="1">
      <c r="A22" s="1638"/>
      <c r="B22" s="1638"/>
      <c r="C22" s="1638"/>
      <c r="D22" s="1638"/>
      <c r="E22" s="1638"/>
      <c r="F22" s="1119" t="s">
        <v>1134</v>
      </c>
      <c r="G22" s="1646" t="s">
        <v>1135</v>
      </c>
      <c r="H22" s="1647"/>
      <c r="I22" s="1128"/>
      <c r="J22" s="1129"/>
      <c r="R22" s="1632"/>
      <c r="S22" s="1632"/>
      <c r="T22" s="1632"/>
      <c r="U22" s="1632"/>
      <c r="V22" s="1632"/>
      <c r="W22" s="1632"/>
      <c r="X22" s="1638">
        <v>2018</v>
      </c>
      <c r="Y22" s="1638"/>
    </row>
    <row r="23" spans="1:32" ht="70.5" customHeight="1">
      <c r="A23" s="1119">
        <v>1</v>
      </c>
      <c r="B23" s="1643" t="s">
        <v>970</v>
      </c>
      <c r="C23" s="1643"/>
      <c r="D23" s="1643"/>
      <c r="E23" s="1643"/>
      <c r="F23" s="438"/>
      <c r="G23" s="1648">
        <f>F23*(1-ОР!$D$11/100)*ОР!$D$12*(1+ОР!$D$13/100)</f>
        <v>0</v>
      </c>
      <c r="H23" s="1649"/>
      <c r="I23" s="1128"/>
      <c r="J23" s="1129"/>
      <c r="R23" s="1121">
        <v>1</v>
      </c>
      <c r="S23" s="1628" t="s">
        <v>970</v>
      </c>
      <c r="T23" s="1628"/>
      <c r="U23" s="1628"/>
      <c r="V23" s="1628"/>
      <c r="W23" s="1628"/>
      <c r="X23" s="1637">
        <f>IF(Титульный!B17="2016-2018",IF('НВВ базовый расчет'!$D$9=0,,'ПП 2016-2018'!F15*ОР!$N$17/'НВВ базовый расчет'!$D$9),IF('НВВ базовый расчет'!$D$9=0,,'ПП2017-2019'!F15*ОР!$N$17/'НВВ базовый расчет'!$D$9))</f>
        <v>0</v>
      </c>
      <c r="Y23" s="1638"/>
    </row>
    <row r="24" spans="1:32" ht="63.75" customHeight="1">
      <c r="A24" s="1119">
        <v>2</v>
      </c>
      <c r="B24" s="1643" t="s">
        <v>971</v>
      </c>
      <c r="C24" s="1643"/>
      <c r="D24" s="1643"/>
      <c r="E24" s="1643"/>
      <c r="F24" s="194"/>
      <c r="G24" s="1648">
        <f>F24*(1-ОР!$D$11/100)*ОР!$D$12*(1+ОР!$D$13/100)</f>
        <v>0</v>
      </c>
      <c r="H24" s="1649"/>
      <c r="I24" s="1128"/>
      <c r="J24" s="1129"/>
      <c r="R24" s="1121">
        <v>2</v>
      </c>
      <c r="S24" s="1628" t="s">
        <v>971</v>
      </c>
      <c r="T24" s="1628"/>
      <c r="U24" s="1628"/>
      <c r="V24" s="1628"/>
      <c r="W24" s="1628"/>
      <c r="X24" s="1637">
        <f>IF(Титульный!B18="2016-2018",IF('НВВ базовый расчет'!$D$9=0,,'ПП 2016-2018'!F16*ОР!$N$17/'НВВ базовый расчет'!$D$9),IF('НВВ базовый расчет'!$D$9=0,,'ПП2017-2019'!F16*ОР!$N$17/'НВВ базовый расчет'!$D$9))</f>
        <v>0</v>
      </c>
      <c r="Y24" s="1638"/>
    </row>
    <row r="25" spans="1:32" ht="16.5">
      <c r="A25" s="1119">
        <v>3</v>
      </c>
      <c r="B25" s="1643" t="s">
        <v>972</v>
      </c>
      <c r="C25" s="1643"/>
      <c r="D25" s="1643"/>
      <c r="E25" s="1643"/>
      <c r="F25" s="194">
        <v>0</v>
      </c>
      <c r="G25" s="1648">
        <f>F25*(1-ОР!$D$11/100)*ОР!$D$12*(1+ОР!$D$13/100)</f>
        <v>0</v>
      </c>
      <c r="H25" s="1649"/>
      <c r="I25" s="1128"/>
      <c r="J25" s="1129"/>
      <c r="R25" s="1121">
        <v>3</v>
      </c>
      <c r="S25" s="1628" t="s">
        <v>972</v>
      </c>
      <c r="T25" s="1628"/>
      <c r="U25" s="1628"/>
      <c r="V25" s="1628"/>
      <c r="W25" s="1628"/>
      <c r="X25" s="1637">
        <f>IF(Титульный!B19="2016-2018",IF('НВВ базовый расчет'!$D$9=0,,'ПП 2016-2018'!F17*ОР!$N$17/'НВВ базовый расчет'!$D$9),IF('НВВ базовый расчет'!$D$9=0,,'ПП2017-2019'!F17*ОР!$N$17/'НВВ базовый расчет'!$D$9))</f>
        <v>0</v>
      </c>
      <c r="Y25" s="1638"/>
    </row>
    <row r="26" spans="1:32" ht="16.5">
      <c r="A26" s="1122"/>
      <c r="B26" s="1658" t="s">
        <v>520</v>
      </c>
      <c r="C26" s="1658"/>
      <c r="D26" s="1658"/>
      <c r="E26" s="1658"/>
      <c r="F26" s="195">
        <f>SUM(F23:F25)</f>
        <v>0</v>
      </c>
      <c r="G26" s="1639">
        <f>SUM(G23:G25)</f>
        <v>0</v>
      </c>
      <c r="H26" s="1640"/>
      <c r="I26" s="1128"/>
      <c r="J26" s="1129"/>
      <c r="R26" s="197"/>
      <c r="S26" s="1661" t="s">
        <v>520</v>
      </c>
      <c r="T26" s="1662"/>
      <c r="U26" s="1662"/>
      <c r="V26" s="1662"/>
      <c r="W26" s="1663"/>
      <c r="X26" s="1639">
        <f>SUM(X23:X25)</f>
        <v>0</v>
      </c>
      <c r="Y26" s="1640">
        <f>SUM(Y23:Y25)</f>
        <v>0</v>
      </c>
    </row>
    <row r="27" spans="1:32" ht="16.5">
      <c r="A27" s="184"/>
      <c r="B27" s="1123"/>
      <c r="C27" s="1659"/>
      <c r="D27" s="1659"/>
      <c r="E27" s="1659"/>
      <c r="F27" s="1659"/>
      <c r="G27" s="1123"/>
      <c r="H27" s="1123"/>
      <c r="I27" s="1128"/>
      <c r="J27" s="1129"/>
      <c r="R27" s="185"/>
      <c r="S27" s="1124"/>
      <c r="T27" s="1660"/>
      <c r="U27" s="1660"/>
      <c r="V27" s="1660"/>
      <c r="W27" s="1660"/>
      <c r="X27" s="1124"/>
      <c r="Y27" s="1124"/>
    </row>
    <row r="28" spans="1:32" ht="16.5">
      <c r="A28" s="177" t="s">
        <v>973</v>
      </c>
      <c r="B28" s="177"/>
      <c r="C28" s="177"/>
      <c r="D28" s="177"/>
      <c r="E28" s="177"/>
      <c r="F28" s="177"/>
      <c r="G28" s="177"/>
      <c r="H28" s="177"/>
      <c r="I28" s="1128"/>
      <c r="J28" s="1129"/>
      <c r="R28" s="180" t="s">
        <v>973</v>
      </c>
      <c r="S28" s="180"/>
      <c r="T28" s="180"/>
      <c r="U28" s="180"/>
      <c r="V28" s="180"/>
      <c r="W28" s="180"/>
      <c r="X28" s="180"/>
      <c r="Y28" s="180"/>
    </row>
    <row r="29" spans="1:32" ht="16.5">
      <c r="A29" s="179"/>
      <c r="B29" s="1125"/>
      <c r="C29" s="1125"/>
      <c r="D29" s="1125"/>
      <c r="E29" s="1125"/>
      <c r="F29" s="1125"/>
      <c r="G29" s="1125"/>
      <c r="H29" s="1125"/>
      <c r="I29" s="1128"/>
      <c r="J29" s="1129"/>
      <c r="R29" s="182"/>
      <c r="S29" s="1126"/>
      <c r="T29" s="1126"/>
      <c r="U29" s="1126"/>
      <c r="V29" s="1126"/>
      <c r="W29" s="1126"/>
      <c r="X29" s="1126"/>
      <c r="Y29" s="1126"/>
    </row>
    <row r="30" spans="1:32" ht="16.5">
      <c r="A30" s="1638" t="s">
        <v>183</v>
      </c>
      <c r="B30" s="1638" t="s">
        <v>467</v>
      </c>
      <c r="C30" s="1638"/>
      <c r="D30" s="1638"/>
      <c r="E30" s="1638"/>
      <c r="F30" s="1638" t="s">
        <v>979</v>
      </c>
      <c r="G30" s="1638"/>
      <c r="H30" s="1638"/>
      <c r="I30" s="1128"/>
      <c r="J30" s="1129"/>
      <c r="R30" s="1632" t="s">
        <v>183</v>
      </c>
      <c r="S30" s="1632" t="s">
        <v>467</v>
      </c>
      <c r="T30" s="1632"/>
      <c r="U30" s="1632"/>
      <c r="V30" s="1632"/>
      <c r="W30" s="1632"/>
      <c r="X30" s="1632" t="s">
        <v>979</v>
      </c>
      <c r="Y30" s="1632"/>
    </row>
    <row r="31" spans="1:32" ht="16.5">
      <c r="A31" s="1638"/>
      <c r="B31" s="1638"/>
      <c r="C31" s="1638"/>
      <c r="D31" s="1638"/>
      <c r="E31" s="1638"/>
      <c r="F31" s="1646">
        <v>2018</v>
      </c>
      <c r="G31" s="1656"/>
      <c r="H31" s="1647"/>
      <c r="I31" s="1128"/>
      <c r="J31" s="1129"/>
      <c r="R31" s="1632"/>
      <c r="S31" s="1632"/>
      <c r="T31" s="1632"/>
      <c r="U31" s="1632"/>
      <c r="V31" s="1632"/>
      <c r="W31" s="1632"/>
      <c r="X31" s="1632">
        <v>2018</v>
      </c>
      <c r="Y31" s="1632"/>
    </row>
    <row r="32" spans="1:32" ht="21.75" customHeight="1">
      <c r="A32" s="1119">
        <v>1</v>
      </c>
      <c r="B32" s="1643" t="s">
        <v>186</v>
      </c>
      <c r="C32" s="1643"/>
      <c r="D32" s="1643"/>
      <c r="E32" s="1643"/>
      <c r="F32" s="1648">
        <f>'НВВск и тариф'!C47/1000</f>
        <v>0</v>
      </c>
      <c r="G32" s="1655"/>
      <c r="H32" s="1649"/>
      <c r="I32" s="1128"/>
      <c r="J32" s="1129"/>
      <c r="R32" s="1121">
        <v>1</v>
      </c>
      <c r="S32" s="1633" t="s">
        <v>186</v>
      </c>
      <c r="T32" s="1633"/>
      <c r="U32" s="1633"/>
      <c r="V32" s="1633"/>
      <c r="W32" s="1633"/>
      <c r="X32" s="1631">
        <f>'НВВск и тариф'!E47/1000</f>
        <v>0</v>
      </c>
      <c r="Y32" s="1631"/>
    </row>
    <row r="33" spans="1:25" ht="16.5">
      <c r="A33" s="179"/>
      <c r="B33" s="1125"/>
      <c r="C33" s="1125"/>
      <c r="D33" s="1125"/>
      <c r="E33" s="1125"/>
      <c r="F33" s="1125"/>
      <c r="G33" s="1125"/>
      <c r="H33" s="1125"/>
      <c r="I33" s="1128"/>
      <c r="J33" s="1129"/>
      <c r="R33" s="182"/>
      <c r="S33" s="1126"/>
      <c r="T33" s="1126"/>
      <c r="U33" s="1126"/>
      <c r="V33" s="1126"/>
      <c r="W33" s="1126"/>
      <c r="X33" s="1126"/>
      <c r="Y33" s="1126"/>
    </row>
    <row r="34" spans="1:25" ht="27.75" customHeight="1">
      <c r="A34" s="1651" t="s">
        <v>974</v>
      </c>
      <c r="B34" s="1651"/>
      <c r="C34" s="1651"/>
      <c r="D34" s="1651"/>
      <c r="E34" s="1651"/>
      <c r="F34" s="1651"/>
      <c r="G34" s="1651"/>
      <c r="H34" s="1651"/>
      <c r="I34" s="1128"/>
      <c r="J34" s="1129"/>
      <c r="R34" s="1634" t="s">
        <v>974</v>
      </c>
      <c r="S34" s="1634"/>
      <c r="T34" s="1634"/>
      <c r="U34" s="1634"/>
      <c r="V34" s="1634"/>
      <c r="W34" s="1634"/>
      <c r="X34" s="1634"/>
      <c r="Y34" s="1634"/>
    </row>
    <row r="35" spans="1:25" ht="16.5">
      <c r="A35" s="179"/>
      <c r="B35" s="1125"/>
      <c r="C35" s="1652"/>
      <c r="D35" s="1652"/>
      <c r="E35" s="1652"/>
      <c r="F35" s="1652"/>
      <c r="G35" s="1125"/>
      <c r="H35" s="1125"/>
      <c r="I35" s="1128"/>
      <c r="J35" s="1129"/>
      <c r="R35" s="182"/>
      <c r="S35" s="1126"/>
      <c r="T35" s="1657"/>
      <c r="U35" s="1657"/>
      <c r="V35" s="1657"/>
      <c r="W35" s="1657"/>
      <c r="X35" s="1126"/>
      <c r="Y35" s="1126"/>
    </row>
    <row r="36" spans="1:25" ht="17.25" customHeight="1">
      <c r="A36" s="1638" t="s">
        <v>183</v>
      </c>
      <c r="B36" s="1638" t="s">
        <v>467</v>
      </c>
      <c r="C36" s="1638"/>
      <c r="D36" s="1638"/>
      <c r="E36" s="1638"/>
      <c r="F36" s="1638" t="s">
        <v>983</v>
      </c>
      <c r="G36" s="1638"/>
      <c r="H36" s="1638"/>
      <c r="I36" s="1128"/>
      <c r="J36" s="1129"/>
      <c r="R36" s="1632" t="s">
        <v>183</v>
      </c>
      <c r="S36" s="1632" t="s">
        <v>467</v>
      </c>
      <c r="T36" s="1632"/>
      <c r="U36" s="1632"/>
      <c r="V36" s="1632"/>
      <c r="W36" s="1632"/>
      <c r="X36" s="1632" t="s">
        <v>983</v>
      </c>
      <c r="Y36" s="1632"/>
    </row>
    <row r="37" spans="1:25" ht="16.5">
      <c r="A37" s="1638"/>
      <c r="B37" s="1638"/>
      <c r="C37" s="1638"/>
      <c r="D37" s="1638"/>
      <c r="E37" s="1638"/>
      <c r="F37" s="1646">
        <v>2018</v>
      </c>
      <c r="G37" s="1656"/>
      <c r="H37" s="1647"/>
      <c r="I37" s="1128"/>
      <c r="J37" s="1129"/>
      <c r="R37" s="1632"/>
      <c r="S37" s="1632"/>
      <c r="T37" s="1632"/>
      <c r="U37" s="1632"/>
      <c r="V37" s="1632"/>
      <c r="W37" s="1632"/>
      <c r="X37" s="1632">
        <v>2018</v>
      </c>
      <c r="Y37" s="1632"/>
    </row>
    <row r="38" spans="1:25" ht="17.25" customHeight="1">
      <c r="A38" s="1119">
        <v>1</v>
      </c>
      <c r="B38" s="1643" t="s">
        <v>975</v>
      </c>
      <c r="C38" s="1643"/>
      <c r="D38" s="1643"/>
      <c r="E38" s="1643"/>
      <c r="F38" s="1648">
        <f>'НВВск и тариф'!C46/1000</f>
        <v>0</v>
      </c>
      <c r="G38" s="1655"/>
      <c r="H38" s="1649"/>
      <c r="I38" s="1128"/>
      <c r="J38" s="1129"/>
      <c r="R38" s="1121">
        <v>1</v>
      </c>
      <c r="S38" s="1633" t="s">
        <v>975</v>
      </c>
      <c r="T38" s="1633"/>
      <c r="U38" s="1633"/>
      <c r="V38" s="1633"/>
      <c r="W38" s="1633"/>
      <c r="X38" s="1631">
        <f>'НВВск и тариф'!E46/1000</f>
        <v>0</v>
      </c>
      <c r="Y38" s="1631"/>
    </row>
    <row r="39" spans="1:25">
      <c r="A39" s="1116"/>
      <c r="B39" s="196"/>
      <c r="C39" s="196"/>
      <c r="D39" s="196"/>
      <c r="E39" s="196"/>
      <c r="F39" s="196"/>
      <c r="G39" s="196"/>
      <c r="H39" s="1116"/>
      <c r="I39" s="1653"/>
      <c r="J39" s="1654"/>
      <c r="R39" s="186"/>
      <c r="S39" s="198"/>
      <c r="T39" s="198"/>
      <c r="U39" s="198"/>
      <c r="V39" s="198"/>
      <c r="W39" s="198"/>
      <c r="X39" s="198"/>
      <c r="Y39" s="186"/>
    </row>
    <row r="40" spans="1:25" ht="33" customHeight="1">
      <c r="A40" s="1651" t="s">
        <v>521</v>
      </c>
      <c r="B40" s="1651"/>
      <c r="C40" s="1651"/>
      <c r="D40" s="1651"/>
      <c r="E40" s="1651"/>
      <c r="F40" s="1651"/>
      <c r="G40" s="1651"/>
      <c r="H40" s="1651"/>
      <c r="I40" s="1653"/>
      <c r="J40" s="1654"/>
      <c r="R40" s="1634" t="s">
        <v>521</v>
      </c>
      <c r="S40" s="1634"/>
      <c r="T40" s="1634"/>
      <c r="U40" s="1634"/>
      <c r="V40" s="1634"/>
      <c r="W40" s="1634"/>
      <c r="X40" s="1634"/>
      <c r="Y40" s="1634"/>
    </row>
    <row r="41" spans="1:25" ht="16.5">
      <c r="A41" s="1117"/>
      <c r="B41" s="1116"/>
      <c r="C41" s="1116"/>
      <c r="D41" s="1116"/>
      <c r="E41" s="1116"/>
      <c r="F41" s="1116"/>
      <c r="G41" s="1116"/>
      <c r="H41" s="1116"/>
      <c r="I41" s="1128"/>
      <c r="J41" s="1129"/>
      <c r="R41" s="1120"/>
      <c r="S41" s="186"/>
      <c r="T41" s="186"/>
      <c r="U41" s="186"/>
      <c r="V41" s="186"/>
      <c r="W41" s="186"/>
      <c r="X41" s="186"/>
      <c r="Y41" s="186"/>
    </row>
    <row r="42" spans="1:25" ht="20.25" customHeight="1">
      <c r="A42" s="1638" t="s">
        <v>183</v>
      </c>
      <c r="B42" s="1638" t="s">
        <v>467</v>
      </c>
      <c r="C42" s="1638"/>
      <c r="D42" s="1638"/>
      <c r="E42" s="1638"/>
      <c r="F42" s="1638" t="s">
        <v>522</v>
      </c>
      <c r="G42" s="1638" t="s">
        <v>1136</v>
      </c>
      <c r="H42" s="1638"/>
      <c r="I42" s="1128"/>
      <c r="J42" s="1129"/>
      <c r="R42" s="1632" t="s">
        <v>183</v>
      </c>
      <c r="S42" s="1632" t="s">
        <v>467</v>
      </c>
      <c r="T42" s="1632"/>
      <c r="U42" s="1632"/>
      <c r="V42" s="1632"/>
      <c r="W42" s="1632" t="s">
        <v>522</v>
      </c>
      <c r="X42" s="1632" t="s">
        <v>309</v>
      </c>
      <c r="Y42" s="1632"/>
    </row>
    <row r="43" spans="1:25" ht="45.75" customHeight="1">
      <c r="A43" s="1638"/>
      <c r="B43" s="1638"/>
      <c r="C43" s="1638"/>
      <c r="D43" s="1638"/>
      <c r="E43" s="1638"/>
      <c r="F43" s="1638"/>
      <c r="G43" s="1119" t="s">
        <v>980</v>
      </c>
      <c r="H43" s="73" t="s">
        <v>981</v>
      </c>
      <c r="I43" s="1128"/>
      <c r="J43" s="1129"/>
      <c r="R43" s="1632"/>
      <c r="S43" s="1632"/>
      <c r="T43" s="1632"/>
      <c r="U43" s="1632"/>
      <c r="V43" s="1632"/>
      <c r="W43" s="1632"/>
      <c r="X43" s="1632">
        <v>2018</v>
      </c>
      <c r="Y43" s="1632"/>
    </row>
    <row r="44" spans="1:25" ht="18" customHeight="1">
      <c r="A44" s="1650" t="s">
        <v>524</v>
      </c>
      <c r="B44" s="1650"/>
      <c r="C44" s="1650"/>
      <c r="D44" s="1650"/>
      <c r="E44" s="1650"/>
      <c r="F44" s="1650"/>
      <c r="G44" s="1650"/>
      <c r="H44" s="1650"/>
      <c r="I44" s="1128"/>
      <c r="J44" s="1129"/>
      <c r="R44" s="1633" t="s">
        <v>524</v>
      </c>
      <c r="S44" s="1633"/>
      <c r="T44" s="1633"/>
      <c r="U44" s="1633"/>
      <c r="V44" s="1633"/>
      <c r="W44" s="1633"/>
      <c r="X44" s="1633"/>
      <c r="Y44" s="1633"/>
    </row>
    <row r="45" spans="1:25" ht="102" customHeight="1">
      <c r="A45" s="74">
        <v>1</v>
      </c>
      <c r="B45" s="1643" t="s">
        <v>525</v>
      </c>
      <c r="C45" s="1643"/>
      <c r="D45" s="1643"/>
      <c r="E45" s="1643"/>
      <c r="F45" s="1131" t="s">
        <v>246</v>
      </c>
      <c r="G45" s="194"/>
      <c r="H45" s="194"/>
      <c r="I45" s="1128"/>
      <c r="J45" s="1129"/>
      <c r="R45" s="199">
        <v>1</v>
      </c>
      <c r="S45" s="1628" t="s">
        <v>525</v>
      </c>
      <c r="T45" s="1628"/>
      <c r="U45" s="1628"/>
      <c r="V45" s="1628"/>
      <c r="W45" s="1127" t="s">
        <v>246</v>
      </c>
      <c r="X45" s="1635">
        <f>G45</f>
        <v>0</v>
      </c>
      <c r="Y45" s="1636"/>
    </row>
    <row r="46" spans="1:25" ht="90.75" customHeight="1">
      <c r="A46" s="74">
        <v>2</v>
      </c>
      <c r="B46" s="1643" t="s">
        <v>526</v>
      </c>
      <c r="C46" s="1643"/>
      <c r="D46" s="1643"/>
      <c r="E46" s="1643"/>
      <c r="F46" s="1131" t="s">
        <v>246</v>
      </c>
      <c r="G46" s="194"/>
      <c r="H46" s="194"/>
      <c r="I46" s="1128"/>
      <c r="J46" s="1129"/>
      <c r="R46" s="199">
        <v>2</v>
      </c>
      <c r="S46" s="1628" t="s">
        <v>526</v>
      </c>
      <c r="T46" s="1628"/>
      <c r="U46" s="1628"/>
      <c r="V46" s="1628"/>
      <c r="W46" s="1127" t="s">
        <v>246</v>
      </c>
      <c r="X46" s="1635">
        <f>G46</f>
        <v>0</v>
      </c>
      <c r="Y46" s="1636"/>
    </row>
    <row r="47" spans="1:25" ht="17.25" customHeight="1">
      <c r="A47" s="1650" t="s">
        <v>527</v>
      </c>
      <c r="B47" s="1650"/>
      <c r="C47" s="1650"/>
      <c r="D47" s="1650"/>
      <c r="E47" s="1650"/>
      <c r="F47" s="1650"/>
      <c r="G47" s="1650"/>
      <c r="H47" s="1650"/>
      <c r="I47" s="1128"/>
      <c r="J47" s="1129"/>
      <c r="R47" s="1633" t="s">
        <v>527</v>
      </c>
      <c r="S47" s="1633"/>
      <c r="T47" s="1633"/>
      <c r="U47" s="1633"/>
      <c r="V47" s="1633"/>
      <c r="W47" s="1633"/>
      <c r="X47" s="1633"/>
      <c r="Y47" s="1633"/>
    </row>
    <row r="48" spans="1:25" ht="62.25" customHeight="1">
      <c r="A48" s="74">
        <v>1</v>
      </c>
      <c r="B48" s="1643" t="s">
        <v>528</v>
      </c>
      <c r="C48" s="1643"/>
      <c r="D48" s="1643"/>
      <c r="E48" s="1643"/>
      <c r="F48" s="75" t="s">
        <v>529</v>
      </c>
      <c r="G48" s="194"/>
      <c r="H48" s="194"/>
      <c r="I48" s="1128"/>
      <c r="J48" s="1129"/>
      <c r="R48" s="199">
        <v>1</v>
      </c>
      <c r="S48" s="1628" t="s">
        <v>528</v>
      </c>
      <c r="T48" s="1628"/>
      <c r="U48" s="1628"/>
      <c r="V48" s="1628"/>
      <c r="W48" s="200" t="s">
        <v>984</v>
      </c>
      <c r="X48" s="1635">
        <f>G48</f>
        <v>0</v>
      </c>
      <c r="Y48" s="1636"/>
    </row>
    <row r="49" spans="1:25" ht="17.25" customHeight="1">
      <c r="A49" s="1650" t="s">
        <v>530</v>
      </c>
      <c r="B49" s="1650"/>
      <c r="C49" s="1650"/>
      <c r="D49" s="1650"/>
      <c r="E49" s="1650"/>
      <c r="F49" s="1650"/>
      <c r="G49" s="1650"/>
      <c r="H49" s="1650"/>
      <c r="I49" s="1128"/>
      <c r="J49" s="1129"/>
      <c r="R49" s="1633" t="s">
        <v>530</v>
      </c>
      <c r="S49" s="1633"/>
      <c r="T49" s="1633"/>
      <c r="U49" s="1633"/>
      <c r="V49" s="1633"/>
      <c r="W49" s="1633"/>
      <c r="X49" s="1633"/>
      <c r="Y49" s="1633"/>
    </row>
    <row r="50" spans="1:25" ht="69.75" customHeight="1">
      <c r="A50" s="74">
        <v>1</v>
      </c>
      <c r="B50" s="1643" t="s">
        <v>531</v>
      </c>
      <c r="C50" s="1643"/>
      <c r="D50" s="1643"/>
      <c r="E50" s="1643"/>
      <c r="F50" s="1131" t="s">
        <v>246</v>
      </c>
      <c r="G50" s="1132">
        <f>IF(Титульный!$B$17="2016-2018",'данные об организации'!I31,'данные об организации'!H31)</f>
        <v>0</v>
      </c>
      <c r="H50" s="193">
        <f>G50</f>
        <v>0</v>
      </c>
      <c r="I50" s="1128"/>
      <c r="J50" s="1129"/>
      <c r="R50" s="199">
        <v>1</v>
      </c>
      <c r="S50" s="1628" t="s">
        <v>531</v>
      </c>
      <c r="T50" s="1628"/>
      <c r="U50" s="1628"/>
      <c r="V50" s="1628"/>
      <c r="W50" s="1127" t="s">
        <v>246</v>
      </c>
      <c r="X50" s="1629">
        <f>IF(Титульный!$B$17="2016-2018",'ПП 2016-2018'!H42,'ПП2017-2019'!G45)</f>
        <v>0</v>
      </c>
      <c r="Y50" s="1630"/>
    </row>
    <row r="51" spans="1:25" ht="71.25" customHeight="1">
      <c r="A51" s="74">
        <v>2</v>
      </c>
      <c r="B51" s="1643" t="s">
        <v>454</v>
      </c>
      <c r="C51" s="1643"/>
      <c r="D51" s="1643"/>
      <c r="E51" s="1643"/>
      <c r="F51" s="1086" t="s">
        <v>458</v>
      </c>
      <c r="G51" s="1132">
        <f>IF(Титульный!$B$17="2016-2018",'данные об организации'!I32,'данные об организации'!H32)</f>
        <v>0</v>
      </c>
      <c r="H51" s="193">
        <f>G51</f>
        <v>0</v>
      </c>
      <c r="I51" s="1128"/>
      <c r="J51" s="1129"/>
      <c r="R51" s="199">
        <v>2</v>
      </c>
      <c r="S51" s="1628" t="s">
        <v>454</v>
      </c>
      <c r="T51" s="1628"/>
      <c r="U51" s="1628"/>
      <c r="V51" s="1628"/>
      <c r="W51" s="1086" t="s">
        <v>458</v>
      </c>
      <c r="X51" s="1629">
        <f>IF(Титульный!$B$17="2016-2018",'ПП 2016-2018'!H43,'ПП2017-2019'!G47)</f>
        <v>0</v>
      </c>
      <c r="Y51" s="1630"/>
    </row>
    <row r="52" spans="1:25" ht="73.5" customHeight="1">
      <c r="A52" s="74">
        <v>3</v>
      </c>
      <c r="B52" s="1643" t="s">
        <v>455</v>
      </c>
      <c r="C52" s="1643"/>
      <c r="D52" s="1643"/>
      <c r="E52" s="1643"/>
      <c r="F52" s="1086" t="s">
        <v>458</v>
      </c>
      <c r="G52" s="1132">
        <f>IF(Титульный!$B$17="2016-2018",'данные об организации'!I33,'данные об организации'!H33)</f>
        <v>0</v>
      </c>
      <c r="H52" s="193">
        <f>G52</f>
        <v>0</v>
      </c>
      <c r="I52" s="1128"/>
      <c r="J52" s="1129"/>
      <c r="R52" s="199">
        <v>3</v>
      </c>
      <c r="S52" s="1628" t="s">
        <v>455</v>
      </c>
      <c r="T52" s="1628"/>
      <c r="U52" s="1628"/>
      <c r="V52" s="1628"/>
      <c r="W52" s="1086" t="s">
        <v>458</v>
      </c>
      <c r="X52" s="1629">
        <f>IF(Титульный!$B$17="2016-2018",'ПП 2016-2018'!H44,'ПП2017-2019'!G49)</f>
        <v>0</v>
      </c>
      <c r="Y52" s="1630"/>
    </row>
    <row r="53" spans="1:25" ht="17.25" customHeight="1">
      <c r="A53" s="439"/>
      <c r="B53" s="440"/>
      <c r="C53" s="440"/>
      <c r="D53" s="440"/>
      <c r="E53" s="441"/>
      <c r="F53" s="441"/>
      <c r="G53" s="441"/>
      <c r="H53" s="441"/>
      <c r="I53" s="1128"/>
      <c r="J53" s="1129"/>
      <c r="R53" s="442"/>
      <c r="S53" s="443"/>
      <c r="T53" s="443"/>
      <c r="U53" s="443"/>
      <c r="V53" s="444"/>
      <c r="W53" s="444"/>
      <c r="X53" s="444"/>
      <c r="Y53" s="444"/>
    </row>
  </sheetData>
  <sheetProtection password="F66E" sheet="1" objects="1" scenarios="1" formatCells="0" formatColumns="0" formatRows="0"/>
  <mergeCells count="141">
    <mergeCell ref="A10:B10"/>
    <mergeCell ref="C10:D10"/>
    <mergeCell ref="E10:F10"/>
    <mergeCell ref="R10:S10"/>
    <mergeCell ref="T10:U10"/>
    <mergeCell ref="V10:W10"/>
    <mergeCell ref="A13:B13"/>
    <mergeCell ref="C13:H13"/>
    <mergeCell ref="R13:S13"/>
    <mergeCell ref="T13:Y13"/>
    <mergeCell ref="A14:B14"/>
    <mergeCell ref="C14:H14"/>
    <mergeCell ref="R14:S14"/>
    <mergeCell ref="T14:Y14"/>
    <mergeCell ref="A11:B11"/>
    <mergeCell ref="C11:H11"/>
    <mergeCell ref="R11:S11"/>
    <mergeCell ref="T11:Y11"/>
    <mergeCell ref="A12:B12"/>
    <mergeCell ref="C12:H12"/>
    <mergeCell ref="R12:S12"/>
    <mergeCell ref="T12:Y12"/>
    <mergeCell ref="A17:B17"/>
    <mergeCell ref="R17:S17"/>
    <mergeCell ref="C18:D18"/>
    <mergeCell ref="E18:F18"/>
    <mergeCell ref="T18:U18"/>
    <mergeCell ref="V18:W18"/>
    <mergeCell ref="A15:B15"/>
    <mergeCell ref="C15:H15"/>
    <mergeCell ref="R15:S15"/>
    <mergeCell ref="T15:Y15"/>
    <mergeCell ref="A16:B16"/>
    <mergeCell ref="C16:H16"/>
    <mergeCell ref="R16:S16"/>
    <mergeCell ref="T16:Y16"/>
    <mergeCell ref="B23:E23"/>
    <mergeCell ref="B24:E24"/>
    <mergeCell ref="B25:E25"/>
    <mergeCell ref="C20:D20"/>
    <mergeCell ref="E20:F20"/>
    <mergeCell ref="T20:U20"/>
    <mergeCell ref="V20:W20"/>
    <mergeCell ref="A21:A22"/>
    <mergeCell ref="B21:E22"/>
    <mergeCell ref="F21:H21"/>
    <mergeCell ref="R21:R22"/>
    <mergeCell ref="X30:Y30"/>
    <mergeCell ref="X31:Y31"/>
    <mergeCell ref="B26:E26"/>
    <mergeCell ref="C27:D27"/>
    <mergeCell ref="E27:F27"/>
    <mergeCell ref="T27:U27"/>
    <mergeCell ref="V27:W27"/>
    <mergeCell ref="G26:H26"/>
    <mergeCell ref="S26:W26"/>
    <mergeCell ref="E35:F35"/>
    <mergeCell ref="T35:U35"/>
    <mergeCell ref="V35:W35"/>
    <mergeCell ref="F32:H32"/>
    <mergeCell ref="S32:W32"/>
    <mergeCell ref="A30:A31"/>
    <mergeCell ref="B30:E31"/>
    <mergeCell ref="F30:H30"/>
    <mergeCell ref="R30:R31"/>
    <mergeCell ref="F31:H31"/>
    <mergeCell ref="S30:W31"/>
    <mergeCell ref="I39:I40"/>
    <mergeCell ref="J39:J40"/>
    <mergeCell ref="A40:H40"/>
    <mergeCell ref="R40:Y40"/>
    <mergeCell ref="F38:H38"/>
    <mergeCell ref="A36:A37"/>
    <mergeCell ref="B36:E37"/>
    <mergeCell ref="F36:H36"/>
    <mergeCell ref="R36:R37"/>
    <mergeCell ref="F37:H37"/>
    <mergeCell ref="B45:E45"/>
    <mergeCell ref="B46:E46"/>
    <mergeCell ref="B48:E48"/>
    <mergeCell ref="B50:E50"/>
    <mergeCell ref="B51:E51"/>
    <mergeCell ref="B52:E52"/>
    <mergeCell ref="A1:H1"/>
    <mergeCell ref="A3:H3"/>
    <mergeCell ref="A5:H5"/>
    <mergeCell ref="G22:H22"/>
    <mergeCell ref="G23:H23"/>
    <mergeCell ref="G24:H24"/>
    <mergeCell ref="G25:H25"/>
    <mergeCell ref="A49:H49"/>
    <mergeCell ref="A47:H47"/>
    <mergeCell ref="A44:H44"/>
    <mergeCell ref="G42:H42"/>
    <mergeCell ref="F42:F43"/>
    <mergeCell ref="A42:A43"/>
    <mergeCell ref="B42:E43"/>
    <mergeCell ref="B38:E38"/>
    <mergeCell ref="B32:E32"/>
    <mergeCell ref="A34:H34"/>
    <mergeCell ref="C35:D35"/>
    <mergeCell ref="X25:Y25"/>
    <mergeCell ref="X26:Y26"/>
    <mergeCell ref="S23:W23"/>
    <mergeCell ref="S24:W24"/>
    <mergeCell ref="S21:W22"/>
    <mergeCell ref="X21:Y21"/>
    <mergeCell ref="S25:W25"/>
    <mergeCell ref="R1:Y1"/>
    <mergeCell ref="R3:Y3"/>
    <mergeCell ref="R5:Y5"/>
    <mergeCell ref="X22:Y22"/>
    <mergeCell ref="X23:Y23"/>
    <mergeCell ref="X24:Y24"/>
    <mergeCell ref="X32:Y32"/>
    <mergeCell ref="X37:Y37"/>
    <mergeCell ref="X36:Y36"/>
    <mergeCell ref="S38:W38"/>
    <mergeCell ref="S36:W37"/>
    <mergeCell ref="X38:Y38"/>
    <mergeCell ref="R49:Y49"/>
    <mergeCell ref="R47:Y47"/>
    <mergeCell ref="R44:Y44"/>
    <mergeCell ref="R42:R43"/>
    <mergeCell ref="R34:Y34"/>
    <mergeCell ref="X45:Y45"/>
    <mergeCell ref="X46:Y46"/>
    <mergeCell ref="X48:Y48"/>
    <mergeCell ref="X42:Y42"/>
    <mergeCell ref="X43:Y43"/>
    <mergeCell ref="W42:W43"/>
    <mergeCell ref="S42:V43"/>
    <mergeCell ref="S52:V52"/>
    <mergeCell ref="S51:V51"/>
    <mergeCell ref="S50:V50"/>
    <mergeCell ref="S48:V48"/>
    <mergeCell ref="S46:V46"/>
    <mergeCell ref="S45:V45"/>
    <mergeCell ref="X50:Y50"/>
    <mergeCell ref="X51:Y51"/>
    <mergeCell ref="X52:Y52"/>
  </mergeCells>
  <pageMargins left="0" right="0" top="0" bottom="0" header="0.31496062992125984" footer="0.31496062992125984"/>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9">
    <tabColor rgb="FF92D050"/>
  </sheetPr>
  <dimension ref="A1:J36"/>
  <sheetViews>
    <sheetView workbookViewId="0">
      <selection sqref="A1:J15"/>
    </sheetView>
  </sheetViews>
  <sheetFormatPr defaultRowHeight="15.75"/>
  <cols>
    <col min="1" max="1" width="6.5703125" style="10" customWidth="1"/>
    <col min="2" max="2" width="28.42578125" style="10" customWidth="1"/>
    <col min="3" max="3" width="2.7109375" style="10" customWidth="1"/>
    <col min="4" max="4" width="13.5703125" style="10" customWidth="1"/>
    <col min="5" max="5" width="5.42578125" style="10" customWidth="1"/>
    <col min="6" max="7" width="9.140625" style="10"/>
    <col min="8" max="8" width="11" style="10" customWidth="1"/>
    <col min="9" max="10" width="9.140625" style="10"/>
    <col min="11" max="13" width="10.28515625" style="10" customWidth="1"/>
    <col min="14" max="256" width="9.140625" style="10"/>
    <col min="257" max="257" width="6.5703125" style="10" customWidth="1"/>
    <col min="258" max="258" width="28.42578125" style="10" customWidth="1"/>
    <col min="259" max="259" width="2.7109375" style="10" customWidth="1"/>
    <col min="260" max="260" width="13.5703125" style="10" customWidth="1"/>
    <col min="261" max="261" width="5.42578125" style="10" customWidth="1"/>
    <col min="262" max="263" width="9.140625" style="10"/>
    <col min="264" max="264" width="12.140625" style="10" customWidth="1"/>
    <col min="265" max="266" width="9.140625" style="10"/>
    <col min="267" max="269" width="10.28515625" style="10" customWidth="1"/>
    <col min="270" max="512" width="9.140625" style="10"/>
    <col min="513" max="513" width="6.5703125" style="10" customWidth="1"/>
    <col min="514" max="514" width="28.42578125" style="10" customWidth="1"/>
    <col min="515" max="515" width="2.7109375" style="10" customWidth="1"/>
    <col min="516" max="516" width="13.5703125" style="10" customWidth="1"/>
    <col min="517" max="517" width="5.42578125" style="10" customWidth="1"/>
    <col min="518" max="519" width="9.140625" style="10"/>
    <col min="520" max="520" width="12.140625" style="10" customWidth="1"/>
    <col min="521" max="522" width="9.140625" style="10"/>
    <col min="523" max="525" width="10.28515625" style="10" customWidth="1"/>
    <col min="526" max="768" width="9.140625" style="10"/>
    <col min="769" max="769" width="6.5703125" style="10" customWidth="1"/>
    <col min="770" max="770" width="28.42578125" style="10" customWidth="1"/>
    <col min="771" max="771" width="2.7109375" style="10" customWidth="1"/>
    <col min="772" max="772" width="13.5703125" style="10" customWidth="1"/>
    <col min="773" max="773" width="5.42578125" style="10" customWidth="1"/>
    <col min="774" max="775" width="9.140625" style="10"/>
    <col min="776" max="776" width="12.140625" style="10" customWidth="1"/>
    <col min="777" max="778" width="9.140625" style="10"/>
    <col min="779" max="781" width="10.28515625" style="10" customWidth="1"/>
    <col min="782" max="1024" width="9.140625" style="10"/>
    <col min="1025" max="1025" width="6.5703125" style="10" customWidth="1"/>
    <col min="1026" max="1026" width="28.42578125" style="10" customWidth="1"/>
    <col min="1027" max="1027" width="2.7109375" style="10" customWidth="1"/>
    <col min="1028" max="1028" width="13.5703125" style="10" customWidth="1"/>
    <col min="1029" max="1029" width="5.42578125" style="10" customWidth="1"/>
    <col min="1030" max="1031" width="9.140625" style="10"/>
    <col min="1032" max="1032" width="12.140625" style="10" customWidth="1"/>
    <col min="1033" max="1034" width="9.140625" style="10"/>
    <col min="1035" max="1037" width="10.28515625" style="10" customWidth="1"/>
    <col min="1038" max="1280" width="9.140625" style="10"/>
    <col min="1281" max="1281" width="6.5703125" style="10" customWidth="1"/>
    <col min="1282" max="1282" width="28.42578125" style="10" customWidth="1"/>
    <col min="1283" max="1283" width="2.7109375" style="10" customWidth="1"/>
    <col min="1284" max="1284" width="13.5703125" style="10" customWidth="1"/>
    <col min="1285" max="1285" width="5.42578125" style="10" customWidth="1"/>
    <col min="1286" max="1287" width="9.140625" style="10"/>
    <col min="1288" max="1288" width="12.140625" style="10" customWidth="1"/>
    <col min="1289" max="1290" width="9.140625" style="10"/>
    <col min="1291" max="1293" width="10.28515625" style="10" customWidth="1"/>
    <col min="1294" max="1536" width="9.140625" style="10"/>
    <col min="1537" max="1537" width="6.5703125" style="10" customWidth="1"/>
    <col min="1538" max="1538" width="28.42578125" style="10" customWidth="1"/>
    <col min="1539" max="1539" width="2.7109375" style="10" customWidth="1"/>
    <col min="1540" max="1540" width="13.5703125" style="10" customWidth="1"/>
    <col min="1541" max="1541" width="5.42578125" style="10" customWidth="1"/>
    <col min="1542" max="1543" width="9.140625" style="10"/>
    <col min="1544" max="1544" width="12.140625" style="10" customWidth="1"/>
    <col min="1545" max="1546" width="9.140625" style="10"/>
    <col min="1547" max="1549" width="10.28515625" style="10" customWidth="1"/>
    <col min="1550" max="1792" width="9.140625" style="10"/>
    <col min="1793" max="1793" width="6.5703125" style="10" customWidth="1"/>
    <col min="1794" max="1794" width="28.42578125" style="10" customWidth="1"/>
    <col min="1795" max="1795" width="2.7109375" style="10" customWidth="1"/>
    <col min="1796" max="1796" width="13.5703125" style="10" customWidth="1"/>
    <col min="1797" max="1797" width="5.42578125" style="10" customWidth="1"/>
    <col min="1798" max="1799" width="9.140625" style="10"/>
    <col min="1800" max="1800" width="12.140625" style="10" customWidth="1"/>
    <col min="1801" max="1802" width="9.140625" style="10"/>
    <col min="1803" max="1805" width="10.28515625" style="10" customWidth="1"/>
    <col min="1806" max="2048" width="9.140625" style="10"/>
    <col min="2049" max="2049" width="6.5703125" style="10" customWidth="1"/>
    <col min="2050" max="2050" width="28.42578125" style="10" customWidth="1"/>
    <col min="2051" max="2051" width="2.7109375" style="10" customWidth="1"/>
    <col min="2052" max="2052" width="13.5703125" style="10" customWidth="1"/>
    <col min="2053" max="2053" width="5.42578125" style="10" customWidth="1"/>
    <col min="2054" max="2055" width="9.140625" style="10"/>
    <col min="2056" max="2056" width="12.140625" style="10" customWidth="1"/>
    <col min="2057" max="2058" width="9.140625" style="10"/>
    <col min="2059" max="2061" width="10.28515625" style="10" customWidth="1"/>
    <col min="2062" max="2304" width="9.140625" style="10"/>
    <col min="2305" max="2305" width="6.5703125" style="10" customWidth="1"/>
    <col min="2306" max="2306" width="28.42578125" style="10" customWidth="1"/>
    <col min="2307" max="2307" width="2.7109375" style="10" customWidth="1"/>
    <col min="2308" max="2308" width="13.5703125" style="10" customWidth="1"/>
    <col min="2309" max="2309" width="5.42578125" style="10" customWidth="1"/>
    <col min="2310" max="2311" width="9.140625" style="10"/>
    <col min="2312" max="2312" width="12.140625" style="10" customWidth="1"/>
    <col min="2313" max="2314" width="9.140625" style="10"/>
    <col min="2315" max="2317" width="10.28515625" style="10" customWidth="1"/>
    <col min="2318" max="2560" width="9.140625" style="10"/>
    <col min="2561" max="2561" width="6.5703125" style="10" customWidth="1"/>
    <col min="2562" max="2562" width="28.42578125" style="10" customWidth="1"/>
    <col min="2563" max="2563" width="2.7109375" style="10" customWidth="1"/>
    <col min="2564" max="2564" width="13.5703125" style="10" customWidth="1"/>
    <col min="2565" max="2565" width="5.42578125" style="10" customWidth="1"/>
    <col min="2566" max="2567" width="9.140625" style="10"/>
    <col min="2568" max="2568" width="12.140625" style="10" customWidth="1"/>
    <col min="2569" max="2570" width="9.140625" style="10"/>
    <col min="2571" max="2573" width="10.28515625" style="10" customWidth="1"/>
    <col min="2574" max="2816" width="9.140625" style="10"/>
    <col min="2817" max="2817" width="6.5703125" style="10" customWidth="1"/>
    <col min="2818" max="2818" width="28.42578125" style="10" customWidth="1"/>
    <col min="2819" max="2819" width="2.7109375" style="10" customWidth="1"/>
    <col min="2820" max="2820" width="13.5703125" style="10" customWidth="1"/>
    <col min="2821" max="2821" width="5.42578125" style="10" customWidth="1"/>
    <col min="2822" max="2823" width="9.140625" style="10"/>
    <col min="2824" max="2824" width="12.140625" style="10" customWidth="1"/>
    <col min="2825" max="2826" width="9.140625" style="10"/>
    <col min="2827" max="2829" width="10.28515625" style="10" customWidth="1"/>
    <col min="2830" max="3072" width="9.140625" style="10"/>
    <col min="3073" max="3073" width="6.5703125" style="10" customWidth="1"/>
    <col min="3074" max="3074" width="28.42578125" style="10" customWidth="1"/>
    <col min="3075" max="3075" width="2.7109375" style="10" customWidth="1"/>
    <col min="3076" max="3076" width="13.5703125" style="10" customWidth="1"/>
    <col min="3077" max="3077" width="5.42578125" style="10" customWidth="1"/>
    <col min="3078" max="3079" width="9.140625" style="10"/>
    <col min="3080" max="3080" width="12.140625" style="10" customWidth="1"/>
    <col min="3081" max="3082" width="9.140625" style="10"/>
    <col min="3083" max="3085" width="10.28515625" style="10" customWidth="1"/>
    <col min="3086" max="3328" width="9.140625" style="10"/>
    <col min="3329" max="3329" width="6.5703125" style="10" customWidth="1"/>
    <col min="3330" max="3330" width="28.42578125" style="10" customWidth="1"/>
    <col min="3331" max="3331" width="2.7109375" style="10" customWidth="1"/>
    <col min="3332" max="3332" width="13.5703125" style="10" customWidth="1"/>
    <col min="3333" max="3333" width="5.42578125" style="10" customWidth="1"/>
    <col min="3334" max="3335" width="9.140625" style="10"/>
    <col min="3336" max="3336" width="12.140625" style="10" customWidth="1"/>
    <col min="3337" max="3338" width="9.140625" style="10"/>
    <col min="3339" max="3341" width="10.28515625" style="10" customWidth="1"/>
    <col min="3342" max="3584" width="9.140625" style="10"/>
    <col min="3585" max="3585" width="6.5703125" style="10" customWidth="1"/>
    <col min="3586" max="3586" width="28.42578125" style="10" customWidth="1"/>
    <col min="3587" max="3587" width="2.7109375" style="10" customWidth="1"/>
    <col min="3588" max="3588" width="13.5703125" style="10" customWidth="1"/>
    <col min="3589" max="3589" width="5.42578125" style="10" customWidth="1"/>
    <col min="3590" max="3591" width="9.140625" style="10"/>
    <col min="3592" max="3592" width="12.140625" style="10" customWidth="1"/>
    <col min="3593" max="3594" width="9.140625" style="10"/>
    <col min="3595" max="3597" width="10.28515625" style="10" customWidth="1"/>
    <col min="3598" max="3840" width="9.140625" style="10"/>
    <col min="3841" max="3841" width="6.5703125" style="10" customWidth="1"/>
    <col min="3842" max="3842" width="28.42578125" style="10" customWidth="1"/>
    <col min="3843" max="3843" width="2.7109375" style="10" customWidth="1"/>
    <col min="3844" max="3844" width="13.5703125" style="10" customWidth="1"/>
    <col min="3845" max="3845" width="5.42578125" style="10" customWidth="1"/>
    <col min="3846" max="3847" width="9.140625" style="10"/>
    <col min="3848" max="3848" width="12.140625" style="10" customWidth="1"/>
    <col min="3849" max="3850" width="9.140625" style="10"/>
    <col min="3851" max="3853" width="10.28515625" style="10" customWidth="1"/>
    <col min="3854" max="4096" width="9.140625" style="10"/>
    <col min="4097" max="4097" width="6.5703125" style="10" customWidth="1"/>
    <col min="4098" max="4098" width="28.42578125" style="10" customWidth="1"/>
    <col min="4099" max="4099" width="2.7109375" style="10" customWidth="1"/>
    <col min="4100" max="4100" width="13.5703125" style="10" customWidth="1"/>
    <col min="4101" max="4101" width="5.42578125" style="10" customWidth="1"/>
    <col min="4102" max="4103" width="9.140625" style="10"/>
    <col min="4104" max="4104" width="12.140625" style="10" customWidth="1"/>
    <col min="4105" max="4106" width="9.140625" style="10"/>
    <col min="4107" max="4109" width="10.28515625" style="10" customWidth="1"/>
    <col min="4110" max="4352" width="9.140625" style="10"/>
    <col min="4353" max="4353" width="6.5703125" style="10" customWidth="1"/>
    <col min="4354" max="4354" width="28.42578125" style="10" customWidth="1"/>
    <col min="4355" max="4355" width="2.7109375" style="10" customWidth="1"/>
    <col min="4356" max="4356" width="13.5703125" style="10" customWidth="1"/>
    <col min="4357" max="4357" width="5.42578125" style="10" customWidth="1"/>
    <col min="4358" max="4359" width="9.140625" style="10"/>
    <col min="4360" max="4360" width="12.140625" style="10" customWidth="1"/>
    <col min="4361" max="4362" width="9.140625" style="10"/>
    <col min="4363" max="4365" width="10.28515625" style="10" customWidth="1"/>
    <col min="4366" max="4608" width="9.140625" style="10"/>
    <col min="4609" max="4609" width="6.5703125" style="10" customWidth="1"/>
    <col min="4610" max="4610" width="28.42578125" style="10" customWidth="1"/>
    <col min="4611" max="4611" width="2.7109375" style="10" customWidth="1"/>
    <col min="4612" max="4612" width="13.5703125" style="10" customWidth="1"/>
    <col min="4613" max="4613" width="5.42578125" style="10" customWidth="1"/>
    <col min="4614" max="4615" width="9.140625" style="10"/>
    <col min="4616" max="4616" width="12.140625" style="10" customWidth="1"/>
    <col min="4617" max="4618" width="9.140625" style="10"/>
    <col min="4619" max="4621" width="10.28515625" style="10" customWidth="1"/>
    <col min="4622" max="4864" width="9.140625" style="10"/>
    <col min="4865" max="4865" width="6.5703125" style="10" customWidth="1"/>
    <col min="4866" max="4866" width="28.42578125" style="10" customWidth="1"/>
    <col min="4867" max="4867" width="2.7109375" style="10" customWidth="1"/>
    <col min="4868" max="4868" width="13.5703125" style="10" customWidth="1"/>
    <col min="4869" max="4869" width="5.42578125" style="10" customWidth="1"/>
    <col min="4870" max="4871" width="9.140625" style="10"/>
    <col min="4872" max="4872" width="12.140625" style="10" customWidth="1"/>
    <col min="4873" max="4874" width="9.140625" style="10"/>
    <col min="4875" max="4877" width="10.28515625" style="10" customWidth="1"/>
    <col min="4878" max="5120" width="9.140625" style="10"/>
    <col min="5121" max="5121" width="6.5703125" style="10" customWidth="1"/>
    <col min="5122" max="5122" width="28.42578125" style="10" customWidth="1"/>
    <col min="5123" max="5123" width="2.7109375" style="10" customWidth="1"/>
    <col min="5124" max="5124" width="13.5703125" style="10" customWidth="1"/>
    <col min="5125" max="5125" width="5.42578125" style="10" customWidth="1"/>
    <col min="5126" max="5127" width="9.140625" style="10"/>
    <col min="5128" max="5128" width="12.140625" style="10" customWidth="1"/>
    <col min="5129" max="5130" width="9.140625" style="10"/>
    <col min="5131" max="5133" width="10.28515625" style="10" customWidth="1"/>
    <col min="5134" max="5376" width="9.140625" style="10"/>
    <col min="5377" max="5377" width="6.5703125" style="10" customWidth="1"/>
    <col min="5378" max="5378" width="28.42578125" style="10" customWidth="1"/>
    <col min="5379" max="5379" width="2.7109375" style="10" customWidth="1"/>
    <col min="5380" max="5380" width="13.5703125" style="10" customWidth="1"/>
    <col min="5381" max="5381" width="5.42578125" style="10" customWidth="1"/>
    <col min="5382" max="5383" width="9.140625" style="10"/>
    <col min="5384" max="5384" width="12.140625" style="10" customWidth="1"/>
    <col min="5385" max="5386" width="9.140625" style="10"/>
    <col min="5387" max="5389" width="10.28515625" style="10" customWidth="1"/>
    <col min="5390" max="5632" width="9.140625" style="10"/>
    <col min="5633" max="5633" width="6.5703125" style="10" customWidth="1"/>
    <col min="5634" max="5634" width="28.42578125" style="10" customWidth="1"/>
    <col min="5635" max="5635" width="2.7109375" style="10" customWidth="1"/>
    <col min="5636" max="5636" width="13.5703125" style="10" customWidth="1"/>
    <col min="5637" max="5637" width="5.42578125" style="10" customWidth="1"/>
    <col min="5638" max="5639" width="9.140625" style="10"/>
    <col min="5640" max="5640" width="12.140625" style="10" customWidth="1"/>
    <col min="5641" max="5642" width="9.140625" style="10"/>
    <col min="5643" max="5645" width="10.28515625" style="10" customWidth="1"/>
    <col min="5646" max="5888" width="9.140625" style="10"/>
    <col min="5889" max="5889" width="6.5703125" style="10" customWidth="1"/>
    <col min="5890" max="5890" width="28.42578125" style="10" customWidth="1"/>
    <col min="5891" max="5891" width="2.7109375" style="10" customWidth="1"/>
    <col min="5892" max="5892" width="13.5703125" style="10" customWidth="1"/>
    <col min="5893" max="5893" width="5.42578125" style="10" customWidth="1"/>
    <col min="5894" max="5895" width="9.140625" style="10"/>
    <col min="5896" max="5896" width="12.140625" style="10" customWidth="1"/>
    <col min="5897" max="5898" width="9.140625" style="10"/>
    <col min="5899" max="5901" width="10.28515625" style="10" customWidth="1"/>
    <col min="5902" max="6144" width="9.140625" style="10"/>
    <col min="6145" max="6145" width="6.5703125" style="10" customWidth="1"/>
    <col min="6146" max="6146" width="28.42578125" style="10" customWidth="1"/>
    <col min="6147" max="6147" width="2.7109375" style="10" customWidth="1"/>
    <col min="6148" max="6148" width="13.5703125" style="10" customWidth="1"/>
    <col min="6149" max="6149" width="5.42578125" style="10" customWidth="1"/>
    <col min="6150" max="6151" width="9.140625" style="10"/>
    <col min="6152" max="6152" width="12.140625" style="10" customWidth="1"/>
    <col min="6153" max="6154" width="9.140625" style="10"/>
    <col min="6155" max="6157" width="10.28515625" style="10" customWidth="1"/>
    <col min="6158" max="6400" width="9.140625" style="10"/>
    <col min="6401" max="6401" width="6.5703125" style="10" customWidth="1"/>
    <col min="6402" max="6402" width="28.42578125" style="10" customWidth="1"/>
    <col min="6403" max="6403" width="2.7109375" style="10" customWidth="1"/>
    <col min="6404" max="6404" width="13.5703125" style="10" customWidth="1"/>
    <col min="6405" max="6405" width="5.42578125" style="10" customWidth="1"/>
    <col min="6406" max="6407" width="9.140625" style="10"/>
    <col min="6408" max="6408" width="12.140625" style="10" customWidth="1"/>
    <col min="6409" max="6410" width="9.140625" style="10"/>
    <col min="6411" max="6413" width="10.28515625" style="10" customWidth="1"/>
    <col min="6414" max="6656" width="9.140625" style="10"/>
    <col min="6657" max="6657" width="6.5703125" style="10" customWidth="1"/>
    <col min="6658" max="6658" width="28.42578125" style="10" customWidth="1"/>
    <col min="6659" max="6659" width="2.7109375" style="10" customWidth="1"/>
    <col min="6660" max="6660" width="13.5703125" style="10" customWidth="1"/>
    <col min="6661" max="6661" width="5.42578125" style="10" customWidth="1"/>
    <col min="6662" max="6663" width="9.140625" style="10"/>
    <col min="6664" max="6664" width="12.140625" style="10" customWidth="1"/>
    <col min="6665" max="6666" width="9.140625" style="10"/>
    <col min="6667" max="6669" width="10.28515625" style="10" customWidth="1"/>
    <col min="6670" max="6912" width="9.140625" style="10"/>
    <col min="6913" max="6913" width="6.5703125" style="10" customWidth="1"/>
    <col min="6914" max="6914" width="28.42578125" style="10" customWidth="1"/>
    <col min="6915" max="6915" width="2.7109375" style="10" customWidth="1"/>
    <col min="6916" max="6916" width="13.5703125" style="10" customWidth="1"/>
    <col min="6917" max="6917" width="5.42578125" style="10" customWidth="1"/>
    <col min="6918" max="6919" width="9.140625" style="10"/>
    <col min="6920" max="6920" width="12.140625" style="10" customWidth="1"/>
    <col min="6921" max="6922" width="9.140625" style="10"/>
    <col min="6923" max="6925" width="10.28515625" style="10" customWidth="1"/>
    <col min="6926" max="7168" width="9.140625" style="10"/>
    <col min="7169" max="7169" width="6.5703125" style="10" customWidth="1"/>
    <col min="7170" max="7170" width="28.42578125" style="10" customWidth="1"/>
    <col min="7171" max="7171" width="2.7109375" style="10" customWidth="1"/>
    <col min="7172" max="7172" width="13.5703125" style="10" customWidth="1"/>
    <col min="7173" max="7173" width="5.42578125" style="10" customWidth="1"/>
    <col min="7174" max="7175" width="9.140625" style="10"/>
    <col min="7176" max="7176" width="12.140625" style="10" customWidth="1"/>
    <col min="7177" max="7178" width="9.140625" style="10"/>
    <col min="7179" max="7181" width="10.28515625" style="10" customWidth="1"/>
    <col min="7182" max="7424" width="9.140625" style="10"/>
    <col min="7425" max="7425" width="6.5703125" style="10" customWidth="1"/>
    <col min="7426" max="7426" width="28.42578125" style="10" customWidth="1"/>
    <col min="7427" max="7427" width="2.7109375" style="10" customWidth="1"/>
    <col min="7428" max="7428" width="13.5703125" style="10" customWidth="1"/>
    <col min="7429" max="7429" width="5.42578125" style="10" customWidth="1"/>
    <col min="7430" max="7431" width="9.140625" style="10"/>
    <col min="7432" max="7432" width="12.140625" style="10" customWidth="1"/>
    <col min="7433" max="7434" width="9.140625" style="10"/>
    <col min="7435" max="7437" width="10.28515625" style="10" customWidth="1"/>
    <col min="7438" max="7680" width="9.140625" style="10"/>
    <col min="7681" max="7681" width="6.5703125" style="10" customWidth="1"/>
    <col min="7682" max="7682" width="28.42578125" style="10" customWidth="1"/>
    <col min="7683" max="7683" width="2.7109375" style="10" customWidth="1"/>
    <col min="7684" max="7684" width="13.5703125" style="10" customWidth="1"/>
    <col min="7685" max="7685" width="5.42578125" style="10" customWidth="1"/>
    <col min="7686" max="7687" width="9.140625" style="10"/>
    <col min="7688" max="7688" width="12.140625" style="10" customWidth="1"/>
    <col min="7689" max="7690" width="9.140625" style="10"/>
    <col min="7691" max="7693" width="10.28515625" style="10" customWidth="1"/>
    <col min="7694" max="7936" width="9.140625" style="10"/>
    <col min="7937" max="7937" width="6.5703125" style="10" customWidth="1"/>
    <col min="7938" max="7938" width="28.42578125" style="10" customWidth="1"/>
    <col min="7939" max="7939" width="2.7109375" style="10" customWidth="1"/>
    <col min="7940" max="7940" width="13.5703125" style="10" customWidth="1"/>
    <col min="7941" max="7941" width="5.42578125" style="10" customWidth="1"/>
    <col min="7942" max="7943" width="9.140625" style="10"/>
    <col min="7944" max="7944" width="12.140625" style="10" customWidth="1"/>
    <col min="7945" max="7946" width="9.140625" style="10"/>
    <col min="7947" max="7949" width="10.28515625" style="10" customWidth="1"/>
    <col min="7950" max="8192" width="9.140625" style="10"/>
    <col min="8193" max="8193" width="6.5703125" style="10" customWidth="1"/>
    <col min="8194" max="8194" width="28.42578125" style="10" customWidth="1"/>
    <col min="8195" max="8195" width="2.7109375" style="10" customWidth="1"/>
    <col min="8196" max="8196" width="13.5703125" style="10" customWidth="1"/>
    <col min="8197" max="8197" width="5.42578125" style="10" customWidth="1"/>
    <col min="8198" max="8199" width="9.140625" style="10"/>
    <col min="8200" max="8200" width="12.140625" style="10" customWidth="1"/>
    <col min="8201" max="8202" width="9.140625" style="10"/>
    <col min="8203" max="8205" width="10.28515625" style="10" customWidth="1"/>
    <col min="8206" max="8448" width="9.140625" style="10"/>
    <col min="8449" max="8449" width="6.5703125" style="10" customWidth="1"/>
    <col min="8450" max="8450" width="28.42578125" style="10" customWidth="1"/>
    <col min="8451" max="8451" width="2.7109375" style="10" customWidth="1"/>
    <col min="8452" max="8452" width="13.5703125" style="10" customWidth="1"/>
    <col min="8453" max="8453" width="5.42578125" style="10" customWidth="1"/>
    <col min="8454" max="8455" width="9.140625" style="10"/>
    <col min="8456" max="8456" width="12.140625" style="10" customWidth="1"/>
    <col min="8457" max="8458" width="9.140625" style="10"/>
    <col min="8459" max="8461" width="10.28515625" style="10" customWidth="1"/>
    <col min="8462" max="8704" width="9.140625" style="10"/>
    <col min="8705" max="8705" width="6.5703125" style="10" customWidth="1"/>
    <col min="8706" max="8706" width="28.42578125" style="10" customWidth="1"/>
    <col min="8707" max="8707" width="2.7109375" style="10" customWidth="1"/>
    <col min="8708" max="8708" width="13.5703125" style="10" customWidth="1"/>
    <col min="8709" max="8709" width="5.42578125" style="10" customWidth="1"/>
    <col min="8710" max="8711" width="9.140625" style="10"/>
    <col min="8712" max="8712" width="12.140625" style="10" customWidth="1"/>
    <col min="8713" max="8714" width="9.140625" style="10"/>
    <col min="8715" max="8717" width="10.28515625" style="10" customWidth="1"/>
    <col min="8718" max="8960" width="9.140625" style="10"/>
    <col min="8961" max="8961" width="6.5703125" style="10" customWidth="1"/>
    <col min="8962" max="8962" width="28.42578125" style="10" customWidth="1"/>
    <col min="8963" max="8963" width="2.7109375" style="10" customWidth="1"/>
    <col min="8964" max="8964" width="13.5703125" style="10" customWidth="1"/>
    <col min="8965" max="8965" width="5.42578125" style="10" customWidth="1"/>
    <col min="8966" max="8967" width="9.140625" style="10"/>
    <col min="8968" max="8968" width="12.140625" style="10" customWidth="1"/>
    <col min="8969" max="8970" width="9.140625" style="10"/>
    <col min="8971" max="8973" width="10.28515625" style="10" customWidth="1"/>
    <col min="8974" max="9216" width="9.140625" style="10"/>
    <col min="9217" max="9217" width="6.5703125" style="10" customWidth="1"/>
    <col min="9218" max="9218" width="28.42578125" style="10" customWidth="1"/>
    <col min="9219" max="9219" width="2.7109375" style="10" customWidth="1"/>
    <col min="9220" max="9220" width="13.5703125" style="10" customWidth="1"/>
    <col min="9221" max="9221" width="5.42578125" style="10" customWidth="1"/>
    <col min="9222" max="9223" width="9.140625" style="10"/>
    <col min="9224" max="9224" width="12.140625" style="10" customWidth="1"/>
    <col min="9225" max="9226" width="9.140625" style="10"/>
    <col min="9227" max="9229" width="10.28515625" style="10" customWidth="1"/>
    <col min="9230" max="9472" width="9.140625" style="10"/>
    <col min="9473" max="9473" width="6.5703125" style="10" customWidth="1"/>
    <col min="9474" max="9474" width="28.42578125" style="10" customWidth="1"/>
    <col min="9475" max="9475" width="2.7109375" style="10" customWidth="1"/>
    <col min="9476" max="9476" width="13.5703125" style="10" customWidth="1"/>
    <col min="9477" max="9477" width="5.42578125" style="10" customWidth="1"/>
    <col min="9478" max="9479" width="9.140625" style="10"/>
    <col min="9480" max="9480" width="12.140625" style="10" customWidth="1"/>
    <col min="9481" max="9482" width="9.140625" style="10"/>
    <col min="9483" max="9485" width="10.28515625" style="10" customWidth="1"/>
    <col min="9486" max="9728" width="9.140625" style="10"/>
    <col min="9729" max="9729" width="6.5703125" style="10" customWidth="1"/>
    <col min="9730" max="9730" width="28.42578125" style="10" customWidth="1"/>
    <col min="9731" max="9731" width="2.7109375" style="10" customWidth="1"/>
    <col min="9732" max="9732" width="13.5703125" style="10" customWidth="1"/>
    <col min="9733" max="9733" width="5.42578125" style="10" customWidth="1"/>
    <col min="9734" max="9735" width="9.140625" style="10"/>
    <col min="9736" max="9736" width="12.140625" style="10" customWidth="1"/>
    <col min="9737" max="9738" width="9.140625" style="10"/>
    <col min="9739" max="9741" width="10.28515625" style="10" customWidth="1"/>
    <col min="9742" max="9984" width="9.140625" style="10"/>
    <col min="9985" max="9985" width="6.5703125" style="10" customWidth="1"/>
    <col min="9986" max="9986" width="28.42578125" style="10" customWidth="1"/>
    <col min="9987" max="9987" width="2.7109375" style="10" customWidth="1"/>
    <col min="9988" max="9988" width="13.5703125" style="10" customWidth="1"/>
    <col min="9989" max="9989" width="5.42578125" style="10" customWidth="1"/>
    <col min="9990" max="9991" width="9.140625" style="10"/>
    <col min="9992" max="9992" width="12.140625" style="10" customWidth="1"/>
    <col min="9993" max="9994" width="9.140625" style="10"/>
    <col min="9995" max="9997" width="10.28515625" style="10" customWidth="1"/>
    <col min="9998" max="10240" width="9.140625" style="10"/>
    <col min="10241" max="10241" width="6.5703125" style="10" customWidth="1"/>
    <col min="10242" max="10242" width="28.42578125" style="10" customWidth="1"/>
    <col min="10243" max="10243" width="2.7109375" style="10" customWidth="1"/>
    <col min="10244" max="10244" width="13.5703125" style="10" customWidth="1"/>
    <col min="10245" max="10245" width="5.42578125" style="10" customWidth="1"/>
    <col min="10246" max="10247" width="9.140625" style="10"/>
    <col min="10248" max="10248" width="12.140625" style="10" customWidth="1"/>
    <col min="10249" max="10250" width="9.140625" style="10"/>
    <col min="10251" max="10253" width="10.28515625" style="10" customWidth="1"/>
    <col min="10254" max="10496" width="9.140625" style="10"/>
    <col min="10497" max="10497" width="6.5703125" style="10" customWidth="1"/>
    <col min="10498" max="10498" width="28.42578125" style="10" customWidth="1"/>
    <col min="10499" max="10499" width="2.7109375" style="10" customWidth="1"/>
    <col min="10500" max="10500" width="13.5703125" style="10" customWidth="1"/>
    <col min="10501" max="10501" width="5.42578125" style="10" customWidth="1"/>
    <col min="10502" max="10503" width="9.140625" style="10"/>
    <col min="10504" max="10504" width="12.140625" style="10" customWidth="1"/>
    <col min="10505" max="10506" width="9.140625" style="10"/>
    <col min="10507" max="10509" width="10.28515625" style="10" customWidth="1"/>
    <col min="10510" max="10752" width="9.140625" style="10"/>
    <col min="10753" max="10753" width="6.5703125" style="10" customWidth="1"/>
    <col min="10754" max="10754" width="28.42578125" style="10" customWidth="1"/>
    <col min="10755" max="10755" width="2.7109375" style="10" customWidth="1"/>
    <col min="10756" max="10756" width="13.5703125" style="10" customWidth="1"/>
    <col min="10757" max="10757" width="5.42578125" style="10" customWidth="1"/>
    <col min="10758" max="10759" width="9.140625" style="10"/>
    <col min="10760" max="10760" width="12.140625" style="10" customWidth="1"/>
    <col min="10761" max="10762" width="9.140625" style="10"/>
    <col min="10763" max="10765" width="10.28515625" style="10" customWidth="1"/>
    <col min="10766" max="11008" width="9.140625" style="10"/>
    <col min="11009" max="11009" width="6.5703125" style="10" customWidth="1"/>
    <col min="11010" max="11010" width="28.42578125" style="10" customWidth="1"/>
    <col min="11011" max="11011" width="2.7109375" style="10" customWidth="1"/>
    <col min="11012" max="11012" width="13.5703125" style="10" customWidth="1"/>
    <col min="11013" max="11013" width="5.42578125" style="10" customWidth="1"/>
    <col min="11014" max="11015" width="9.140625" style="10"/>
    <col min="11016" max="11016" width="12.140625" style="10" customWidth="1"/>
    <col min="11017" max="11018" width="9.140625" style="10"/>
    <col min="11019" max="11021" width="10.28515625" style="10" customWidth="1"/>
    <col min="11022" max="11264" width="9.140625" style="10"/>
    <col min="11265" max="11265" width="6.5703125" style="10" customWidth="1"/>
    <col min="11266" max="11266" width="28.42578125" style="10" customWidth="1"/>
    <col min="11267" max="11267" width="2.7109375" style="10" customWidth="1"/>
    <col min="11268" max="11268" width="13.5703125" style="10" customWidth="1"/>
    <col min="11269" max="11269" width="5.42578125" style="10" customWidth="1"/>
    <col min="11270" max="11271" width="9.140625" style="10"/>
    <col min="11272" max="11272" width="12.140625" style="10" customWidth="1"/>
    <col min="11273" max="11274" width="9.140625" style="10"/>
    <col min="11275" max="11277" width="10.28515625" style="10" customWidth="1"/>
    <col min="11278" max="11520" width="9.140625" style="10"/>
    <col min="11521" max="11521" width="6.5703125" style="10" customWidth="1"/>
    <col min="11522" max="11522" width="28.42578125" style="10" customWidth="1"/>
    <col min="11523" max="11523" width="2.7109375" style="10" customWidth="1"/>
    <col min="11524" max="11524" width="13.5703125" style="10" customWidth="1"/>
    <col min="11525" max="11525" width="5.42578125" style="10" customWidth="1"/>
    <col min="11526" max="11527" width="9.140625" style="10"/>
    <col min="11528" max="11528" width="12.140625" style="10" customWidth="1"/>
    <col min="11529" max="11530" width="9.140625" style="10"/>
    <col min="11531" max="11533" width="10.28515625" style="10" customWidth="1"/>
    <col min="11534" max="11776" width="9.140625" style="10"/>
    <col min="11777" max="11777" width="6.5703125" style="10" customWidth="1"/>
    <col min="11778" max="11778" width="28.42578125" style="10" customWidth="1"/>
    <col min="11779" max="11779" width="2.7109375" style="10" customWidth="1"/>
    <col min="11780" max="11780" width="13.5703125" style="10" customWidth="1"/>
    <col min="11781" max="11781" width="5.42578125" style="10" customWidth="1"/>
    <col min="11782" max="11783" width="9.140625" style="10"/>
    <col min="11784" max="11784" width="12.140625" style="10" customWidth="1"/>
    <col min="11785" max="11786" width="9.140625" style="10"/>
    <col min="11787" max="11789" width="10.28515625" style="10" customWidth="1"/>
    <col min="11790" max="12032" width="9.140625" style="10"/>
    <col min="12033" max="12033" width="6.5703125" style="10" customWidth="1"/>
    <col min="12034" max="12034" width="28.42578125" style="10" customWidth="1"/>
    <col min="12035" max="12035" width="2.7109375" style="10" customWidth="1"/>
    <col min="12036" max="12036" width="13.5703125" style="10" customWidth="1"/>
    <col min="12037" max="12037" width="5.42578125" style="10" customWidth="1"/>
    <col min="12038" max="12039" width="9.140625" style="10"/>
    <col min="12040" max="12040" width="12.140625" style="10" customWidth="1"/>
    <col min="12041" max="12042" width="9.140625" style="10"/>
    <col min="12043" max="12045" width="10.28515625" style="10" customWidth="1"/>
    <col min="12046" max="12288" width="9.140625" style="10"/>
    <col min="12289" max="12289" width="6.5703125" style="10" customWidth="1"/>
    <col min="12290" max="12290" width="28.42578125" style="10" customWidth="1"/>
    <col min="12291" max="12291" width="2.7109375" style="10" customWidth="1"/>
    <col min="12292" max="12292" width="13.5703125" style="10" customWidth="1"/>
    <col min="12293" max="12293" width="5.42578125" style="10" customWidth="1"/>
    <col min="12294" max="12295" width="9.140625" style="10"/>
    <col min="12296" max="12296" width="12.140625" style="10" customWidth="1"/>
    <col min="12297" max="12298" width="9.140625" style="10"/>
    <col min="12299" max="12301" width="10.28515625" style="10" customWidth="1"/>
    <col min="12302" max="12544" width="9.140625" style="10"/>
    <col min="12545" max="12545" width="6.5703125" style="10" customWidth="1"/>
    <col min="12546" max="12546" width="28.42578125" style="10" customWidth="1"/>
    <col min="12547" max="12547" width="2.7109375" style="10" customWidth="1"/>
    <col min="12548" max="12548" width="13.5703125" style="10" customWidth="1"/>
    <col min="12549" max="12549" width="5.42578125" style="10" customWidth="1"/>
    <col min="12550" max="12551" width="9.140625" style="10"/>
    <col min="12552" max="12552" width="12.140625" style="10" customWidth="1"/>
    <col min="12553" max="12554" width="9.140625" style="10"/>
    <col min="12555" max="12557" width="10.28515625" style="10" customWidth="1"/>
    <col min="12558" max="12800" width="9.140625" style="10"/>
    <col min="12801" max="12801" width="6.5703125" style="10" customWidth="1"/>
    <col min="12802" max="12802" width="28.42578125" style="10" customWidth="1"/>
    <col min="12803" max="12803" width="2.7109375" style="10" customWidth="1"/>
    <col min="12804" max="12804" width="13.5703125" style="10" customWidth="1"/>
    <col min="12805" max="12805" width="5.42578125" style="10" customWidth="1"/>
    <col min="12806" max="12807" width="9.140625" style="10"/>
    <col min="12808" max="12808" width="12.140625" style="10" customWidth="1"/>
    <col min="12809" max="12810" width="9.140625" style="10"/>
    <col min="12811" max="12813" width="10.28515625" style="10" customWidth="1"/>
    <col min="12814" max="13056" width="9.140625" style="10"/>
    <col min="13057" max="13057" width="6.5703125" style="10" customWidth="1"/>
    <col min="13058" max="13058" width="28.42578125" style="10" customWidth="1"/>
    <col min="13059" max="13059" width="2.7109375" style="10" customWidth="1"/>
    <col min="13060" max="13060" width="13.5703125" style="10" customWidth="1"/>
    <col min="13061" max="13061" width="5.42578125" style="10" customWidth="1"/>
    <col min="13062" max="13063" width="9.140625" style="10"/>
    <col min="13064" max="13064" width="12.140625" style="10" customWidth="1"/>
    <col min="13065" max="13066" width="9.140625" style="10"/>
    <col min="13067" max="13069" width="10.28515625" style="10" customWidth="1"/>
    <col min="13070" max="13312" width="9.140625" style="10"/>
    <col min="13313" max="13313" width="6.5703125" style="10" customWidth="1"/>
    <col min="13314" max="13314" width="28.42578125" style="10" customWidth="1"/>
    <col min="13315" max="13315" width="2.7109375" style="10" customWidth="1"/>
    <col min="13316" max="13316" width="13.5703125" style="10" customWidth="1"/>
    <col min="13317" max="13317" width="5.42578125" style="10" customWidth="1"/>
    <col min="13318" max="13319" width="9.140625" style="10"/>
    <col min="13320" max="13320" width="12.140625" style="10" customWidth="1"/>
    <col min="13321" max="13322" width="9.140625" style="10"/>
    <col min="13323" max="13325" width="10.28515625" style="10" customWidth="1"/>
    <col min="13326" max="13568" width="9.140625" style="10"/>
    <col min="13569" max="13569" width="6.5703125" style="10" customWidth="1"/>
    <col min="13570" max="13570" width="28.42578125" style="10" customWidth="1"/>
    <col min="13571" max="13571" width="2.7109375" style="10" customWidth="1"/>
    <col min="13572" max="13572" width="13.5703125" style="10" customWidth="1"/>
    <col min="13573" max="13573" width="5.42578125" style="10" customWidth="1"/>
    <col min="13574" max="13575" width="9.140625" style="10"/>
    <col min="13576" max="13576" width="12.140625" style="10" customWidth="1"/>
    <col min="13577" max="13578" width="9.140625" style="10"/>
    <col min="13579" max="13581" width="10.28515625" style="10" customWidth="1"/>
    <col min="13582" max="13824" width="9.140625" style="10"/>
    <col min="13825" max="13825" width="6.5703125" style="10" customWidth="1"/>
    <col min="13826" max="13826" width="28.42578125" style="10" customWidth="1"/>
    <col min="13827" max="13827" width="2.7109375" style="10" customWidth="1"/>
    <col min="13828" max="13828" width="13.5703125" style="10" customWidth="1"/>
    <col min="13829" max="13829" width="5.42578125" style="10" customWidth="1"/>
    <col min="13830" max="13831" width="9.140625" style="10"/>
    <col min="13832" max="13832" width="12.140625" style="10" customWidth="1"/>
    <col min="13833" max="13834" width="9.140625" style="10"/>
    <col min="13835" max="13837" width="10.28515625" style="10" customWidth="1"/>
    <col min="13838" max="14080" width="9.140625" style="10"/>
    <col min="14081" max="14081" width="6.5703125" style="10" customWidth="1"/>
    <col min="14082" max="14082" width="28.42578125" style="10" customWidth="1"/>
    <col min="14083" max="14083" width="2.7109375" style="10" customWidth="1"/>
    <col min="14084" max="14084" width="13.5703125" style="10" customWidth="1"/>
    <col min="14085" max="14085" width="5.42578125" style="10" customWidth="1"/>
    <col min="14086" max="14087" width="9.140625" style="10"/>
    <col min="14088" max="14088" width="12.140625" style="10" customWidth="1"/>
    <col min="14089" max="14090" width="9.140625" style="10"/>
    <col min="14091" max="14093" width="10.28515625" style="10" customWidth="1"/>
    <col min="14094" max="14336" width="9.140625" style="10"/>
    <col min="14337" max="14337" width="6.5703125" style="10" customWidth="1"/>
    <col min="14338" max="14338" width="28.42578125" style="10" customWidth="1"/>
    <col min="14339" max="14339" width="2.7109375" style="10" customWidth="1"/>
    <col min="14340" max="14340" width="13.5703125" style="10" customWidth="1"/>
    <col min="14341" max="14341" width="5.42578125" style="10" customWidth="1"/>
    <col min="14342" max="14343" width="9.140625" style="10"/>
    <col min="14344" max="14344" width="12.140625" style="10" customWidth="1"/>
    <col min="14345" max="14346" width="9.140625" style="10"/>
    <col min="14347" max="14349" width="10.28515625" style="10" customWidth="1"/>
    <col min="14350" max="14592" width="9.140625" style="10"/>
    <col min="14593" max="14593" width="6.5703125" style="10" customWidth="1"/>
    <col min="14594" max="14594" width="28.42578125" style="10" customWidth="1"/>
    <col min="14595" max="14595" width="2.7109375" style="10" customWidth="1"/>
    <col min="14596" max="14596" width="13.5703125" style="10" customWidth="1"/>
    <col min="14597" max="14597" width="5.42578125" style="10" customWidth="1"/>
    <col min="14598" max="14599" width="9.140625" style="10"/>
    <col min="14600" max="14600" width="12.140625" style="10" customWidth="1"/>
    <col min="14601" max="14602" width="9.140625" style="10"/>
    <col min="14603" max="14605" width="10.28515625" style="10" customWidth="1"/>
    <col min="14606" max="14848" width="9.140625" style="10"/>
    <col min="14849" max="14849" width="6.5703125" style="10" customWidth="1"/>
    <col min="14850" max="14850" width="28.42578125" style="10" customWidth="1"/>
    <col min="14851" max="14851" width="2.7109375" style="10" customWidth="1"/>
    <col min="14852" max="14852" width="13.5703125" style="10" customWidth="1"/>
    <col min="14853" max="14853" width="5.42578125" style="10" customWidth="1"/>
    <col min="14854" max="14855" width="9.140625" style="10"/>
    <col min="14856" max="14856" width="12.140625" style="10" customWidth="1"/>
    <col min="14857" max="14858" width="9.140625" style="10"/>
    <col min="14859" max="14861" width="10.28515625" style="10" customWidth="1"/>
    <col min="14862" max="15104" width="9.140625" style="10"/>
    <col min="15105" max="15105" width="6.5703125" style="10" customWidth="1"/>
    <col min="15106" max="15106" width="28.42578125" style="10" customWidth="1"/>
    <col min="15107" max="15107" width="2.7109375" style="10" customWidth="1"/>
    <col min="15108" max="15108" width="13.5703125" style="10" customWidth="1"/>
    <col min="15109" max="15109" width="5.42578125" style="10" customWidth="1"/>
    <col min="15110" max="15111" width="9.140625" style="10"/>
    <col min="15112" max="15112" width="12.140625" style="10" customWidth="1"/>
    <col min="15113" max="15114" width="9.140625" style="10"/>
    <col min="15115" max="15117" width="10.28515625" style="10" customWidth="1"/>
    <col min="15118" max="15360" width="9.140625" style="10"/>
    <col min="15361" max="15361" width="6.5703125" style="10" customWidth="1"/>
    <col min="15362" max="15362" width="28.42578125" style="10" customWidth="1"/>
    <col min="15363" max="15363" width="2.7109375" style="10" customWidth="1"/>
    <col min="15364" max="15364" width="13.5703125" style="10" customWidth="1"/>
    <col min="15365" max="15365" width="5.42578125" style="10" customWidth="1"/>
    <col min="15366" max="15367" width="9.140625" style="10"/>
    <col min="15368" max="15368" width="12.140625" style="10" customWidth="1"/>
    <col min="15369" max="15370" width="9.140625" style="10"/>
    <col min="15371" max="15373" width="10.28515625" style="10" customWidth="1"/>
    <col min="15374" max="15616" width="9.140625" style="10"/>
    <col min="15617" max="15617" width="6.5703125" style="10" customWidth="1"/>
    <col min="15618" max="15618" width="28.42578125" style="10" customWidth="1"/>
    <col min="15619" max="15619" width="2.7109375" style="10" customWidth="1"/>
    <col min="15620" max="15620" width="13.5703125" style="10" customWidth="1"/>
    <col min="15621" max="15621" width="5.42578125" style="10" customWidth="1"/>
    <col min="15622" max="15623" width="9.140625" style="10"/>
    <col min="15624" max="15624" width="12.140625" style="10" customWidth="1"/>
    <col min="15625" max="15626" width="9.140625" style="10"/>
    <col min="15627" max="15629" width="10.28515625" style="10" customWidth="1"/>
    <col min="15630" max="15872" width="9.140625" style="10"/>
    <col min="15873" max="15873" width="6.5703125" style="10" customWidth="1"/>
    <col min="15874" max="15874" width="28.42578125" style="10" customWidth="1"/>
    <col min="15875" max="15875" width="2.7109375" style="10" customWidth="1"/>
    <col min="15876" max="15876" width="13.5703125" style="10" customWidth="1"/>
    <col min="15877" max="15877" width="5.42578125" style="10" customWidth="1"/>
    <col min="15878" max="15879" width="9.140625" style="10"/>
    <col min="15880" max="15880" width="12.140625" style="10" customWidth="1"/>
    <col min="15881" max="15882" width="9.140625" style="10"/>
    <col min="15883" max="15885" width="10.28515625" style="10" customWidth="1"/>
    <col min="15886" max="16128" width="9.140625" style="10"/>
    <col min="16129" max="16129" width="6.5703125" style="10" customWidth="1"/>
    <col min="16130" max="16130" width="28.42578125" style="10" customWidth="1"/>
    <col min="16131" max="16131" width="2.7109375" style="10" customWidth="1"/>
    <col min="16132" max="16132" width="13.5703125" style="10" customWidth="1"/>
    <col min="16133" max="16133" width="5.42578125" style="10" customWidth="1"/>
    <col min="16134" max="16135" width="9.140625" style="10"/>
    <col min="16136" max="16136" width="12.140625" style="10" customWidth="1"/>
    <col min="16137" max="16138" width="9.140625" style="10"/>
    <col min="16139" max="16141" width="10.28515625" style="10" customWidth="1"/>
    <col min="16142" max="16384" width="9.140625" style="10"/>
  </cols>
  <sheetData>
    <row r="1" spans="1:10">
      <c r="A1" s="202" t="s">
        <v>956</v>
      </c>
      <c r="B1" s="202"/>
      <c r="C1" s="202"/>
      <c r="D1" s="202"/>
      <c r="E1" s="203"/>
      <c r="F1" s="203"/>
      <c r="G1" s="11"/>
      <c r="H1" s="11"/>
      <c r="I1" s="204"/>
      <c r="J1" s="204"/>
    </row>
    <row r="2" spans="1:10">
      <c r="A2" s="1693"/>
      <c r="B2" s="1693"/>
      <c r="C2" s="1685"/>
      <c r="D2" s="1685"/>
      <c r="E2" s="1685"/>
      <c r="F2" s="1685"/>
      <c r="G2" s="343"/>
      <c r="H2" s="343"/>
      <c r="I2" s="204"/>
      <c r="J2" s="204"/>
    </row>
    <row r="3" spans="1:10" ht="38.25" customHeight="1">
      <c r="A3" s="1687" t="s">
        <v>957</v>
      </c>
      <c r="B3" s="1687"/>
      <c r="C3" s="1688" t="str">
        <f>ПП!C11</f>
        <v xml:space="preserve"> </v>
      </c>
      <c r="D3" s="1688"/>
      <c r="E3" s="1688"/>
      <c r="F3" s="1688"/>
      <c r="G3" s="1688"/>
      <c r="H3" s="1688"/>
      <c r="I3" s="1688"/>
      <c r="J3" s="1688"/>
    </row>
    <row r="4" spans="1:10" ht="38.25" customHeight="1">
      <c r="A4" s="1687" t="s">
        <v>958</v>
      </c>
      <c r="B4" s="1687"/>
      <c r="C4" s="1688" t="str">
        <f>ПП!C12</f>
        <v xml:space="preserve">    </v>
      </c>
      <c r="D4" s="1688"/>
      <c r="E4" s="1688"/>
      <c r="F4" s="1688"/>
      <c r="G4" s="1688"/>
      <c r="H4" s="1688"/>
      <c r="I4" s="1688"/>
      <c r="J4" s="1688"/>
    </row>
    <row r="5" spans="1:10" ht="16.5" customHeight="1">
      <c r="A5" s="1687" t="s">
        <v>18</v>
      </c>
      <c r="B5" s="1687"/>
      <c r="C5" s="1688">
        <f>ПП!C13</f>
        <v>0</v>
      </c>
      <c r="D5" s="1688"/>
      <c r="E5" s="1688"/>
      <c r="F5" s="1688"/>
      <c r="G5" s="1688"/>
      <c r="H5" s="1688"/>
      <c r="I5" s="1688"/>
      <c r="J5" s="1688"/>
    </row>
    <row r="6" spans="1:10" ht="17.25" customHeight="1">
      <c r="A6" s="1687" t="s">
        <v>959</v>
      </c>
      <c r="B6" s="1687"/>
      <c r="C6" s="1675" t="s">
        <v>189</v>
      </c>
      <c r="D6" s="1675"/>
      <c r="E6" s="1675"/>
      <c r="F6" s="1675"/>
      <c r="G6" s="1675"/>
      <c r="H6" s="1675"/>
      <c r="I6" s="1675"/>
      <c r="J6" s="1675"/>
    </row>
    <row r="7" spans="1:10" ht="32.25" customHeight="1">
      <c r="A7" s="1687" t="s">
        <v>960</v>
      </c>
      <c r="B7" s="1687"/>
      <c r="C7" s="1675" t="s">
        <v>961</v>
      </c>
      <c r="D7" s="1675"/>
      <c r="E7" s="1675"/>
      <c r="F7" s="1675"/>
      <c r="G7" s="1675"/>
      <c r="H7" s="1675"/>
      <c r="I7" s="1675"/>
      <c r="J7" s="1675"/>
    </row>
    <row r="8" spans="1:10" ht="41.25" customHeight="1">
      <c r="A8" s="1687" t="s">
        <v>958</v>
      </c>
      <c r="B8" s="1687"/>
      <c r="C8" s="1675" t="s">
        <v>989</v>
      </c>
      <c r="D8" s="1675"/>
      <c r="E8" s="1675"/>
      <c r="F8" s="1675"/>
      <c r="G8" s="1675"/>
      <c r="H8" s="1675"/>
      <c r="I8" s="1675"/>
      <c r="J8" s="1675"/>
    </row>
    <row r="9" spans="1:10" ht="42.75" customHeight="1">
      <c r="A9" s="1689" t="s">
        <v>963</v>
      </c>
      <c r="B9" s="1690"/>
      <c r="C9" s="205" t="s">
        <v>964</v>
      </c>
      <c r="D9" s="206">
        <f>ПП!D17</f>
        <v>43101</v>
      </c>
      <c r="E9" s="207" t="s">
        <v>965</v>
      </c>
      <c r="F9" s="1691">
        <f>ПП!F17</f>
        <v>43465</v>
      </c>
      <c r="G9" s="1691"/>
      <c r="H9" s="1691"/>
      <c r="I9" s="1691"/>
      <c r="J9" s="1692"/>
    </row>
    <row r="10" spans="1:10">
      <c r="A10" s="11"/>
      <c r="B10" s="343"/>
      <c r="C10" s="1685"/>
      <c r="D10" s="1685"/>
      <c r="E10" s="1685"/>
      <c r="F10" s="1685"/>
      <c r="G10" s="343"/>
      <c r="H10" s="343"/>
      <c r="I10" s="204"/>
      <c r="J10" s="204"/>
    </row>
    <row r="11" spans="1:10" ht="16.5" customHeight="1">
      <c r="A11" s="209"/>
      <c r="B11" s="210"/>
      <c r="C11" s="210"/>
      <c r="D11" s="210"/>
      <c r="E11" s="210"/>
      <c r="F11" s="210"/>
      <c r="G11" s="201"/>
      <c r="H11" s="201"/>
      <c r="I11" s="204"/>
      <c r="J11" s="204"/>
    </row>
    <row r="12" spans="1:10" ht="17.25" customHeight="1">
      <c r="A12" s="211" t="s">
        <v>990</v>
      </c>
      <c r="B12" s="211"/>
      <c r="C12" s="212"/>
      <c r="D12" s="212"/>
      <c r="E12" s="212"/>
      <c r="F12" s="212"/>
      <c r="G12" s="212"/>
      <c r="H12" s="344"/>
      <c r="I12" s="204"/>
      <c r="J12" s="204"/>
    </row>
    <row r="13" spans="1:10" ht="17.25" customHeight="1">
      <c r="A13" s="1680" t="s">
        <v>183</v>
      </c>
      <c r="B13" s="1680" t="s">
        <v>968</v>
      </c>
      <c r="C13" s="1680"/>
      <c r="D13" s="1680"/>
      <c r="E13" s="1680"/>
      <c r="F13" s="1680"/>
      <c r="G13" s="1675" t="s">
        <v>1137</v>
      </c>
      <c r="H13" s="1675"/>
      <c r="I13" s="1675"/>
      <c r="J13" s="1675"/>
    </row>
    <row r="14" spans="1:10" ht="43.5" customHeight="1">
      <c r="A14" s="1680"/>
      <c r="B14" s="1680"/>
      <c r="C14" s="1680"/>
      <c r="D14" s="1680"/>
      <c r="E14" s="1680"/>
      <c r="F14" s="1680"/>
      <c r="G14" s="1676" t="s">
        <v>468</v>
      </c>
      <c r="H14" s="1675"/>
      <c r="I14" s="1675" t="s">
        <v>469</v>
      </c>
      <c r="J14" s="1675"/>
    </row>
    <row r="15" spans="1:10" ht="64.5" customHeight="1">
      <c r="A15" s="342">
        <v>1</v>
      </c>
      <c r="B15" s="1674" t="s">
        <v>970</v>
      </c>
      <c r="C15" s="1674"/>
      <c r="D15" s="1674"/>
      <c r="E15" s="1674"/>
      <c r="F15" s="1674"/>
      <c r="G15" s="1677">
        <f>ПП!G23</f>
        <v>0</v>
      </c>
      <c r="H15" s="1678"/>
      <c r="I15" s="1677">
        <f>ПП!X23</f>
        <v>0</v>
      </c>
      <c r="J15" s="1678"/>
    </row>
    <row r="16" spans="1:10" ht="49.5" customHeight="1">
      <c r="A16" s="342">
        <v>2</v>
      </c>
      <c r="B16" s="1674" t="s">
        <v>971</v>
      </c>
      <c r="C16" s="1674"/>
      <c r="D16" s="1674"/>
      <c r="E16" s="1674"/>
      <c r="F16" s="1674"/>
      <c r="G16" s="1677">
        <f>ПП!G24</f>
        <v>0</v>
      </c>
      <c r="H16" s="1678"/>
      <c r="I16" s="1677">
        <f>ПП!X24</f>
        <v>0</v>
      </c>
      <c r="J16" s="1678"/>
    </row>
    <row r="17" spans="1:10" ht="23.25" customHeight="1">
      <c r="A17" s="342">
        <v>3</v>
      </c>
      <c r="B17" s="1674" t="s">
        <v>972</v>
      </c>
      <c r="C17" s="1674"/>
      <c r="D17" s="1674"/>
      <c r="E17" s="1674"/>
      <c r="F17" s="1674"/>
      <c r="G17" s="1677">
        <f>ПП!G25</f>
        <v>0</v>
      </c>
      <c r="H17" s="1678"/>
      <c r="I17" s="1677">
        <f>ПП!X25</f>
        <v>0</v>
      </c>
      <c r="J17" s="1678"/>
    </row>
    <row r="18" spans="1:10" ht="23.25" customHeight="1">
      <c r="A18" s="213"/>
      <c r="B18" s="1674" t="s">
        <v>520</v>
      </c>
      <c r="C18" s="1674"/>
      <c r="D18" s="1674"/>
      <c r="E18" s="1674"/>
      <c r="F18" s="1674"/>
      <c r="G18" s="1677">
        <f>SUM(G15:H17)</f>
        <v>0</v>
      </c>
      <c r="H18" s="1678"/>
      <c r="I18" s="1677">
        <f>SUM(I15:J17)</f>
        <v>0</v>
      </c>
      <c r="J18" s="1678"/>
    </row>
    <row r="19" spans="1:10" ht="17.25" customHeight="1">
      <c r="A19" s="344"/>
      <c r="B19" s="212"/>
      <c r="C19" s="212"/>
      <c r="D19" s="212"/>
      <c r="E19" s="212"/>
      <c r="F19" s="212"/>
      <c r="G19" s="212"/>
      <c r="H19" s="344"/>
      <c r="I19" s="204"/>
      <c r="J19" s="204"/>
    </row>
    <row r="20" spans="1:10" ht="17.25" customHeight="1">
      <c r="A20" s="344"/>
      <c r="B20" s="212"/>
      <c r="C20" s="212"/>
      <c r="D20" s="212"/>
      <c r="E20" s="212"/>
      <c r="F20" s="212"/>
      <c r="G20" s="212"/>
      <c r="H20" s="344"/>
      <c r="I20" s="204"/>
      <c r="J20" s="204"/>
    </row>
    <row r="21" spans="1:10" ht="36.75" customHeight="1">
      <c r="A21" s="1686" t="s">
        <v>991</v>
      </c>
      <c r="B21" s="1686"/>
      <c r="C21" s="1686"/>
      <c r="D21" s="1686"/>
      <c r="E21" s="1686"/>
      <c r="F21" s="1686"/>
      <c r="G21" s="1686"/>
      <c r="H21" s="1686"/>
      <c r="I21" s="1686"/>
      <c r="J21" s="1686"/>
    </row>
    <row r="22" spans="1:10" ht="21.75" customHeight="1">
      <c r="A22" s="343"/>
      <c r="B22" s="344"/>
      <c r="C22" s="344"/>
      <c r="D22" s="344"/>
      <c r="E22" s="344"/>
      <c r="F22" s="344"/>
      <c r="G22" s="344"/>
      <c r="H22" s="344"/>
      <c r="I22" s="204"/>
      <c r="J22" s="204"/>
    </row>
    <row r="23" spans="1:10" ht="29.25" customHeight="1">
      <c r="A23" s="1675" t="s">
        <v>183</v>
      </c>
      <c r="B23" s="1675" t="s">
        <v>467</v>
      </c>
      <c r="C23" s="1675"/>
      <c r="D23" s="1675"/>
      <c r="E23" s="1675" t="s">
        <v>522</v>
      </c>
      <c r="F23" s="1675"/>
      <c r="G23" s="1675" t="s">
        <v>1138</v>
      </c>
      <c r="H23" s="1675"/>
      <c r="I23" s="1675"/>
      <c r="J23" s="1675"/>
    </row>
    <row r="24" spans="1:10" ht="42" customHeight="1">
      <c r="A24" s="1675"/>
      <c r="B24" s="1675"/>
      <c r="C24" s="1675"/>
      <c r="D24" s="1675"/>
      <c r="E24" s="1675"/>
      <c r="F24" s="1675"/>
      <c r="G24" s="1676" t="s">
        <v>468</v>
      </c>
      <c r="H24" s="1675"/>
      <c r="I24" s="1675" t="s">
        <v>469</v>
      </c>
      <c r="J24" s="1675"/>
    </row>
    <row r="25" spans="1:10" ht="23.25" customHeight="1">
      <c r="A25" s="1679" t="s">
        <v>524</v>
      </c>
      <c r="B25" s="1679"/>
      <c r="C25" s="1679"/>
      <c r="D25" s="1679"/>
      <c r="E25" s="1679"/>
      <c r="F25" s="1679"/>
      <c r="G25" s="1679"/>
      <c r="H25" s="1679"/>
      <c r="I25" s="1679"/>
      <c r="J25" s="1679"/>
    </row>
    <row r="26" spans="1:10" ht="105.75" customHeight="1">
      <c r="A26" s="341">
        <v>1</v>
      </c>
      <c r="B26" s="1682" t="s">
        <v>525</v>
      </c>
      <c r="C26" s="1682"/>
      <c r="D26" s="1682"/>
      <c r="E26" s="1679" t="s">
        <v>246</v>
      </c>
      <c r="F26" s="1679"/>
      <c r="G26" s="1681">
        <f>ПП!H45</f>
        <v>0</v>
      </c>
      <c r="H26" s="1681"/>
      <c r="I26" s="1681">
        <f>ПП!X45</f>
        <v>0</v>
      </c>
      <c r="J26" s="1681"/>
    </row>
    <row r="27" spans="1:10" ht="95.25" customHeight="1">
      <c r="A27" s="341">
        <v>2</v>
      </c>
      <c r="B27" s="1682" t="s">
        <v>526</v>
      </c>
      <c r="C27" s="1682"/>
      <c r="D27" s="1682"/>
      <c r="E27" s="1679" t="s">
        <v>246</v>
      </c>
      <c r="F27" s="1679"/>
      <c r="G27" s="1681">
        <f>ПП!H46</f>
        <v>0</v>
      </c>
      <c r="H27" s="1681"/>
      <c r="I27" s="1681">
        <f>ПП!X46</f>
        <v>0</v>
      </c>
      <c r="J27" s="1681"/>
    </row>
    <row r="28" spans="1:10" ht="60" customHeight="1">
      <c r="A28" s="1679" t="s">
        <v>527</v>
      </c>
      <c r="B28" s="1679"/>
      <c r="C28" s="1679"/>
      <c r="D28" s="1679"/>
      <c r="E28" s="1679"/>
      <c r="F28" s="1679"/>
      <c r="G28" s="1679"/>
      <c r="H28" s="1679"/>
      <c r="I28" s="1679"/>
      <c r="J28" s="1679"/>
    </row>
    <row r="29" spans="1:10" ht="69" customHeight="1">
      <c r="A29" s="341">
        <v>1</v>
      </c>
      <c r="B29" s="1682" t="s">
        <v>528</v>
      </c>
      <c r="C29" s="1682"/>
      <c r="D29" s="1682"/>
      <c r="E29" s="1679" t="s">
        <v>529</v>
      </c>
      <c r="F29" s="1679"/>
      <c r="G29" s="1681">
        <f>ПП!H48</f>
        <v>0</v>
      </c>
      <c r="H29" s="1681"/>
      <c r="I29" s="1681">
        <f>ПП!X48</f>
        <v>0</v>
      </c>
      <c r="J29" s="1681"/>
    </row>
    <row r="30" spans="1:10" ht="42" customHeight="1">
      <c r="A30" s="1679" t="s">
        <v>530</v>
      </c>
      <c r="B30" s="1679"/>
      <c r="C30" s="1679"/>
      <c r="D30" s="1679"/>
      <c r="E30" s="1679"/>
      <c r="F30" s="1679"/>
      <c r="G30" s="1679"/>
      <c r="H30" s="1679"/>
      <c r="I30" s="1679"/>
      <c r="J30" s="1679"/>
    </row>
    <row r="31" spans="1:10" ht="63" customHeight="1">
      <c r="A31" s="341">
        <v>1</v>
      </c>
      <c r="B31" s="1682" t="s">
        <v>531</v>
      </c>
      <c r="C31" s="1682"/>
      <c r="D31" s="1682"/>
      <c r="E31" s="1679" t="s">
        <v>246</v>
      </c>
      <c r="F31" s="1679"/>
      <c r="G31" s="1681">
        <f>ПП!H50</f>
        <v>0</v>
      </c>
      <c r="H31" s="1681"/>
      <c r="I31" s="1681">
        <f>ПП!X50</f>
        <v>0</v>
      </c>
      <c r="J31" s="1681"/>
    </row>
    <row r="32" spans="1:10" ht="72.75" customHeight="1">
      <c r="A32" s="341">
        <v>2</v>
      </c>
      <c r="B32" s="1682" t="s">
        <v>454</v>
      </c>
      <c r="C32" s="1682"/>
      <c r="D32" s="1682"/>
      <c r="E32" s="1679" t="s">
        <v>458</v>
      </c>
      <c r="F32" s="1679"/>
      <c r="G32" s="1681">
        <f>ПП!H51</f>
        <v>0</v>
      </c>
      <c r="H32" s="1681"/>
      <c r="I32" s="1681">
        <f>ПП!X51</f>
        <v>0</v>
      </c>
      <c r="J32" s="1681"/>
    </row>
    <row r="33" spans="1:10" ht="71.25" customHeight="1">
      <c r="A33" s="341">
        <v>3</v>
      </c>
      <c r="B33" s="1682" t="s">
        <v>976</v>
      </c>
      <c r="C33" s="1682"/>
      <c r="D33" s="1682"/>
      <c r="E33" s="1679" t="s">
        <v>458</v>
      </c>
      <c r="F33" s="1679"/>
      <c r="G33" s="1681">
        <f>ПП!H52</f>
        <v>0</v>
      </c>
      <c r="H33" s="1681"/>
      <c r="I33" s="1681">
        <f>ПП!X52</f>
        <v>0</v>
      </c>
      <c r="J33" s="1681"/>
    </row>
    <row r="34" spans="1:10" ht="31.5" customHeight="1">
      <c r="A34" s="214"/>
      <c r="B34" s="208"/>
      <c r="C34" s="208"/>
      <c r="D34" s="208"/>
      <c r="E34" s="215"/>
      <c r="F34" s="215"/>
      <c r="G34" s="215"/>
      <c r="H34" s="215"/>
      <c r="I34" s="204"/>
      <c r="J34" s="204"/>
    </row>
    <row r="35" spans="1:10">
      <c r="A35" s="11"/>
      <c r="B35" s="1683" t="s">
        <v>986</v>
      </c>
      <c r="C35" s="1683"/>
      <c r="D35" s="1683"/>
      <c r="E35" s="1683"/>
      <c r="F35" s="1683"/>
      <c r="G35" s="1683"/>
      <c r="H35" s="11"/>
      <c r="I35" s="11"/>
      <c r="J35" s="11"/>
    </row>
    <row r="36" spans="1:10" ht="25.5" customHeight="1">
      <c r="A36" s="11"/>
      <c r="B36" s="1684" t="s">
        <v>987</v>
      </c>
      <c r="C36" s="1684"/>
      <c r="D36" s="1684"/>
      <c r="E36" s="1684"/>
      <c r="F36" s="1684"/>
      <c r="G36" s="1684"/>
      <c r="H36" s="1684"/>
      <c r="I36" s="11"/>
      <c r="J36" s="11"/>
    </row>
  </sheetData>
  <sheetProtection formatCells="0" formatColumns="0" formatRows="0"/>
  <mergeCells count="72">
    <mergeCell ref="A2:B2"/>
    <mergeCell ref="C2:D2"/>
    <mergeCell ref="E2:F2"/>
    <mergeCell ref="A3:B3"/>
    <mergeCell ref="C3:J3"/>
    <mergeCell ref="A4:B4"/>
    <mergeCell ref="C4:J4"/>
    <mergeCell ref="A8:B8"/>
    <mergeCell ref="C8:J8"/>
    <mergeCell ref="A9:B9"/>
    <mergeCell ref="F9:J9"/>
    <mergeCell ref="A5:B5"/>
    <mergeCell ref="C5:J5"/>
    <mergeCell ref="A6:B6"/>
    <mergeCell ref="C6:J6"/>
    <mergeCell ref="A7:B7"/>
    <mergeCell ref="C7:J7"/>
    <mergeCell ref="C10:D10"/>
    <mergeCell ref="E10:F10"/>
    <mergeCell ref="I27:J27"/>
    <mergeCell ref="A21:J21"/>
    <mergeCell ref="A23:A24"/>
    <mergeCell ref="B23:D24"/>
    <mergeCell ref="E23:F24"/>
    <mergeCell ref="G23:J23"/>
    <mergeCell ref="G24:H24"/>
    <mergeCell ref="I24:J24"/>
    <mergeCell ref="I26:J26"/>
    <mergeCell ref="B27:D27"/>
    <mergeCell ref="E27:F27"/>
    <mergeCell ref="G27:H27"/>
    <mergeCell ref="I17:J17"/>
    <mergeCell ref="I18:J18"/>
    <mergeCell ref="B35:G35"/>
    <mergeCell ref="B36:H36"/>
    <mergeCell ref="B31:D31"/>
    <mergeCell ref="E31:F31"/>
    <mergeCell ref="G31:H31"/>
    <mergeCell ref="B32:D32"/>
    <mergeCell ref="E32:F32"/>
    <mergeCell ref="G32:H32"/>
    <mergeCell ref="A28:J28"/>
    <mergeCell ref="B29:D29"/>
    <mergeCell ref="E29:F29"/>
    <mergeCell ref="G29:H29"/>
    <mergeCell ref="I29:J29"/>
    <mergeCell ref="A30:J30"/>
    <mergeCell ref="A13:A14"/>
    <mergeCell ref="B13:F14"/>
    <mergeCell ref="B15:F15"/>
    <mergeCell ref="I33:J33"/>
    <mergeCell ref="I32:J32"/>
    <mergeCell ref="I31:J31"/>
    <mergeCell ref="I15:J15"/>
    <mergeCell ref="I16:J16"/>
    <mergeCell ref="B33:D33"/>
    <mergeCell ref="E33:F33"/>
    <mergeCell ref="G33:H33"/>
    <mergeCell ref="A25:J25"/>
    <mergeCell ref="B26:D26"/>
    <mergeCell ref="E26:F26"/>
    <mergeCell ref="G26:H26"/>
    <mergeCell ref="B16:F16"/>
    <mergeCell ref="B17:F17"/>
    <mergeCell ref="B18:F18"/>
    <mergeCell ref="G13:J13"/>
    <mergeCell ref="G14:H14"/>
    <mergeCell ref="I14:J14"/>
    <mergeCell ref="G15:H15"/>
    <mergeCell ref="G16:H16"/>
    <mergeCell ref="G17:H17"/>
    <mergeCell ref="G18:H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T300"/>
  <sheetViews>
    <sheetView workbookViewId="0">
      <selection activeCell="I22" sqref="I22"/>
    </sheetView>
  </sheetViews>
  <sheetFormatPr defaultColWidth="10.28515625" defaultRowHeight="15.75"/>
  <cols>
    <col min="1" max="1" width="22.85546875" style="357" customWidth="1"/>
    <col min="2" max="2" width="4" style="357" customWidth="1"/>
    <col min="3" max="3" width="32.5703125" style="357" customWidth="1"/>
    <col min="4" max="4" width="4.7109375" style="357" customWidth="1"/>
    <col min="5" max="5" width="9.140625" style="357" customWidth="1"/>
    <col min="6" max="6" width="5.5703125" style="357" customWidth="1"/>
    <col min="7" max="7" width="10.5703125" style="357" customWidth="1"/>
    <col min="8" max="8" width="45.42578125" style="357" customWidth="1"/>
    <col min="9" max="9" width="28.5703125" style="357" customWidth="1"/>
    <col min="10" max="10" width="3.7109375" style="357" customWidth="1"/>
    <col min="11" max="11" width="19.140625" style="357" customWidth="1"/>
    <col min="12" max="12" width="25.5703125" style="357" customWidth="1"/>
    <col min="13" max="13" width="17" style="621" customWidth="1"/>
    <col min="14" max="14" width="18.140625" style="615" customWidth="1"/>
    <col min="15" max="15" width="147.5703125" style="620" customWidth="1"/>
    <col min="16" max="16384" width="10.28515625" style="357"/>
  </cols>
  <sheetData>
    <row r="1" spans="1:20">
      <c r="A1" s="356" t="s">
        <v>13</v>
      </c>
      <c r="C1" s="356" t="s">
        <v>14</v>
      </c>
      <c r="E1" s="356" t="s">
        <v>15</v>
      </c>
      <c r="G1" s="356" t="s">
        <v>16</v>
      </c>
      <c r="H1" s="356" t="s">
        <v>17</v>
      </c>
      <c r="I1" s="356" t="s">
        <v>11</v>
      </c>
      <c r="M1" s="614" t="s">
        <v>18</v>
      </c>
      <c r="N1" s="615" t="s">
        <v>1193</v>
      </c>
      <c r="O1" s="616" t="s">
        <v>19</v>
      </c>
    </row>
    <row r="2" spans="1:20">
      <c r="K2" s="358">
        <v>1</v>
      </c>
      <c r="L2" s="358">
        <v>2</v>
      </c>
      <c r="M2" s="617" t="s">
        <v>1194</v>
      </c>
      <c r="N2" s="618" t="s">
        <v>1195</v>
      </c>
      <c r="O2" s="618" t="s">
        <v>1196</v>
      </c>
      <c r="P2" s="359"/>
      <c r="Q2" s="359"/>
      <c r="R2" s="359"/>
      <c r="S2" s="359"/>
      <c r="T2" s="359"/>
    </row>
    <row r="3" spans="1:20">
      <c r="A3" s="357" t="s">
        <v>20</v>
      </c>
      <c r="C3" s="357" t="s">
        <v>21</v>
      </c>
      <c r="E3" s="360">
        <v>2011</v>
      </c>
      <c r="G3" s="357" t="s">
        <v>22</v>
      </c>
      <c r="H3" s="357" t="s">
        <v>23</v>
      </c>
      <c r="I3" s="361" t="s">
        <v>24</v>
      </c>
      <c r="J3" s="357">
        <v>1</v>
      </c>
      <c r="K3" s="358" t="s">
        <v>25</v>
      </c>
      <c r="L3" s="358" t="s">
        <v>26</v>
      </c>
      <c r="M3" s="617" t="s">
        <v>1197</v>
      </c>
      <c r="N3" s="618" t="s">
        <v>1198</v>
      </c>
      <c r="O3" s="618" t="s">
        <v>55</v>
      </c>
      <c r="P3" s="359"/>
      <c r="Q3" s="359"/>
      <c r="R3" s="359"/>
      <c r="S3" s="359"/>
      <c r="T3" s="359"/>
    </row>
    <row r="4" spans="1:20">
      <c r="A4" s="357" t="s">
        <v>27</v>
      </c>
      <c r="C4" s="357" t="s">
        <v>28</v>
      </c>
      <c r="E4" s="360">
        <v>2012</v>
      </c>
      <c r="G4" s="357" t="s">
        <v>29</v>
      </c>
      <c r="H4" s="357" t="s">
        <v>30</v>
      </c>
      <c r="I4" s="361" t="s">
        <v>31</v>
      </c>
      <c r="J4" s="357">
        <v>2</v>
      </c>
      <c r="K4" s="358"/>
      <c r="L4" s="358" t="s">
        <v>32</v>
      </c>
      <c r="M4" s="617" t="s">
        <v>1199</v>
      </c>
      <c r="N4" s="618" t="s">
        <v>1200</v>
      </c>
      <c r="O4" s="618" t="s">
        <v>1201</v>
      </c>
      <c r="P4" s="359"/>
      <c r="Q4" s="359"/>
      <c r="R4" s="359"/>
      <c r="S4" s="359"/>
      <c r="T4" s="359"/>
    </row>
    <row r="5" spans="1:20">
      <c r="A5" s="357" t="s">
        <v>33</v>
      </c>
      <c r="C5" s="357" t="s">
        <v>34</v>
      </c>
      <c r="E5" s="360">
        <v>2013</v>
      </c>
      <c r="H5" s="357" t="s">
        <v>35</v>
      </c>
      <c r="M5" s="617" t="s">
        <v>1202</v>
      </c>
      <c r="N5" s="618" t="s">
        <v>1200</v>
      </c>
      <c r="O5" s="618" t="s">
        <v>1203</v>
      </c>
      <c r="P5" s="359"/>
      <c r="Q5" s="359"/>
      <c r="R5" s="359"/>
      <c r="S5" s="359"/>
      <c r="T5" s="359"/>
    </row>
    <row r="6" spans="1:20">
      <c r="A6" s="357" t="s">
        <v>36</v>
      </c>
      <c r="C6" s="357" t="s">
        <v>37</v>
      </c>
      <c r="E6" s="360">
        <v>2014</v>
      </c>
      <c r="H6" s="357" t="s">
        <v>38</v>
      </c>
      <c r="M6" s="617" t="s">
        <v>1204</v>
      </c>
      <c r="N6" s="618" t="s">
        <v>1200</v>
      </c>
      <c r="O6" s="618" t="s">
        <v>1205</v>
      </c>
      <c r="P6" s="359"/>
      <c r="Q6" s="359"/>
      <c r="R6" s="359"/>
      <c r="S6" s="359"/>
      <c r="T6" s="359"/>
    </row>
    <row r="7" spans="1:20">
      <c r="A7" s="357" t="s">
        <v>39</v>
      </c>
      <c r="C7" s="357" t="s">
        <v>40</v>
      </c>
      <c r="E7" s="360">
        <v>2015</v>
      </c>
      <c r="I7" s="356"/>
      <c r="M7" s="617" t="s">
        <v>1206</v>
      </c>
      <c r="N7" s="618" t="s">
        <v>1200</v>
      </c>
      <c r="O7" s="618" t="s">
        <v>1207</v>
      </c>
      <c r="P7" s="359"/>
      <c r="Q7" s="359"/>
      <c r="R7" s="359"/>
      <c r="S7" s="359"/>
      <c r="T7" s="359"/>
    </row>
    <row r="8" spans="1:20">
      <c r="A8" s="357" t="s">
        <v>41</v>
      </c>
      <c r="C8" s="357" t="s">
        <v>42</v>
      </c>
      <c r="E8" s="360">
        <v>2016</v>
      </c>
      <c r="M8" s="617" t="s">
        <v>1208</v>
      </c>
      <c r="N8" s="618" t="s">
        <v>1200</v>
      </c>
      <c r="O8" s="618" t="s">
        <v>1209</v>
      </c>
      <c r="P8" s="359"/>
      <c r="Q8" s="359"/>
      <c r="R8" s="359"/>
      <c r="S8" s="359"/>
      <c r="T8" s="359"/>
    </row>
    <row r="9" spans="1:20">
      <c r="A9" s="357" t="s">
        <v>43</v>
      </c>
      <c r="C9" s="357" t="s">
        <v>44</v>
      </c>
      <c r="E9" s="360">
        <v>2017</v>
      </c>
      <c r="M9" s="617" t="s">
        <v>1210</v>
      </c>
      <c r="N9" s="618" t="s">
        <v>1200</v>
      </c>
      <c r="O9" s="618" t="s">
        <v>1211</v>
      </c>
      <c r="P9" s="359"/>
      <c r="Q9" s="359"/>
      <c r="R9" s="359"/>
      <c r="S9" s="359"/>
      <c r="T9" s="359"/>
    </row>
    <row r="10" spans="1:20">
      <c r="A10" s="357" t="s">
        <v>45</v>
      </c>
      <c r="C10" s="357" t="s">
        <v>46</v>
      </c>
      <c r="E10" s="360">
        <v>2018</v>
      </c>
      <c r="L10" s="362"/>
      <c r="M10" s="617" t="s">
        <v>1212</v>
      </c>
      <c r="N10" s="618" t="s">
        <v>1200</v>
      </c>
      <c r="O10" s="618" t="s">
        <v>1213</v>
      </c>
      <c r="P10" s="359"/>
      <c r="Q10" s="359"/>
      <c r="R10" s="359"/>
      <c r="S10" s="359"/>
      <c r="T10" s="359"/>
    </row>
    <row r="11" spans="1:20">
      <c r="A11" s="357" t="s">
        <v>47</v>
      </c>
      <c r="C11" s="357" t="s">
        <v>48</v>
      </c>
      <c r="E11" s="360">
        <v>2019</v>
      </c>
      <c r="H11" s="356" t="s">
        <v>546</v>
      </c>
      <c r="L11" s="362"/>
      <c r="M11" s="617" t="s">
        <v>1214</v>
      </c>
      <c r="N11" s="618" t="s">
        <v>1200</v>
      </c>
      <c r="O11" s="618" t="s">
        <v>1215</v>
      </c>
      <c r="P11" s="359"/>
      <c r="Q11" s="359"/>
      <c r="R11" s="359"/>
      <c r="S11" s="359"/>
      <c r="T11" s="359"/>
    </row>
    <row r="12" spans="1:20">
      <c r="A12" s="357" t="s">
        <v>49</v>
      </c>
      <c r="C12" s="357" t="s">
        <v>50</v>
      </c>
      <c r="E12" s="360">
        <v>2020</v>
      </c>
      <c r="H12" s="357" t="s">
        <v>547</v>
      </c>
      <c r="L12" s="362"/>
      <c r="M12" s="617" t="s">
        <v>1216</v>
      </c>
      <c r="N12" s="618" t="s">
        <v>1200</v>
      </c>
      <c r="O12" s="618" t="s">
        <v>1217</v>
      </c>
      <c r="P12" s="359"/>
      <c r="Q12" s="359"/>
      <c r="R12" s="359"/>
      <c r="S12" s="359"/>
      <c r="T12" s="359"/>
    </row>
    <row r="13" spans="1:20">
      <c r="A13" s="357" t="s">
        <v>51</v>
      </c>
      <c r="C13" s="357" t="s">
        <v>52</v>
      </c>
      <c r="H13" s="357" t="s">
        <v>548</v>
      </c>
      <c r="L13" s="362"/>
      <c r="M13" s="617" t="s">
        <v>1218</v>
      </c>
      <c r="N13" s="618" t="s">
        <v>1200</v>
      </c>
      <c r="O13" s="618" t="s">
        <v>1219</v>
      </c>
      <c r="P13" s="359"/>
      <c r="Q13" s="359"/>
      <c r="R13" s="359"/>
      <c r="S13" s="359"/>
      <c r="T13" s="359"/>
    </row>
    <row r="14" spans="1:20">
      <c r="A14" s="357" t="s">
        <v>53</v>
      </c>
      <c r="C14" s="357" t="s">
        <v>54</v>
      </c>
      <c r="L14" s="362"/>
      <c r="M14" s="617" t="s">
        <v>1220</v>
      </c>
      <c r="N14" s="618" t="s">
        <v>1200</v>
      </c>
      <c r="O14" s="618" t="s">
        <v>1221</v>
      </c>
      <c r="P14" s="359"/>
      <c r="Q14" s="359"/>
      <c r="R14" s="359"/>
      <c r="S14" s="359"/>
      <c r="T14" s="359"/>
    </row>
    <row r="15" spans="1:20">
      <c r="A15" s="357" t="s">
        <v>56</v>
      </c>
      <c r="C15" s="357" t="s">
        <v>57</v>
      </c>
      <c r="L15" s="362"/>
      <c r="M15" s="617" t="s">
        <v>1222</v>
      </c>
      <c r="N15" s="618" t="s">
        <v>1200</v>
      </c>
      <c r="O15" s="618" t="s">
        <v>1223</v>
      </c>
      <c r="P15" s="359"/>
      <c r="Q15" s="359"/>
      <c r="R15" s="359"/>
      <c r="S15" s="359"/>
      <c r="T15" s="359"/>
    </row>
    <row r="16" spans="1:20">
      <c r="A16" s="357" t="s">
        <v>58</v>
      </c>
      <c r="C16" s="357" t="s">
        <v>59</v>
      </c>
      <c r="H16" s="356" t="s">
        <v>1191</v>
      </c>
      <c r="L16" s="362"/>
      <c r="M16" s="617" t="s">
        <v>1224</v>
      </c>
      <c r="N16" s="618" t="s">
        <v>1200</v>
      </c>
      <c r="O16" s="618" t="s">
        <v>1225</v>
      </c>
      <c r="P16" s="359"/>
      <c r="Q16" s="359"/>
      <c r="R16" s="359"/>
      <c r="S16" s="359"/>
      <c r="T16" s="359"/>
    </row>
    <row r="17" spans="1:20">
      <c r="A17" s="357" t="s">
        <v>60</v>
      </c>
      <c r="C17" s="357" t="s">
        <v>61</v>
      </c>
      <c r="H17" s="357" t="s">
        <v>572</v>
      </c>
      <c r="L17" s="362"/>
      <c r="M17" s="617" t="s">
        <v>1226</v>
      </c>
      <c r="N17" s="618" t="s">
        <v>1200</v>
      </c>
      <c r="O17" s="618" t="s">
        <v>1227</v>
      </c>
      <c r="P17" s="359"/>
      <c r="Q17" s="359"/>
      <c r="R17" s="359"/>
      <c r="S17" s="359"/>
      <c r="T17" s="359"/>
    </row>
    <row r="18" spans="1:20">
      <c r="A18" s="357" t="s">
        <v>62</v>
      </c>
      <c r="C18" s="357" t="s">
        <v>63</v>
      </c>
      <c r="H18" s="357" t="s">
        <v>575</v>
      </c>
      <c r="L18" s="362"/>
      <c r="M18" s="617" t="s">
        <v>1228</v>
      </c>
      <c r="N18" s="618" t="s">
        <v>1200</v>
      </c>
      <c r="O18" s="618" t="s">
        <v>1229</v>
      </c>
      <c r="P18" s="359"/>
      <c r="Q18" s="359"/>
      <c r="R18" s="359"/>
      <c r="S18" s="359"/>
      <c r="T18" s="359"/>
    </row>
    <row r="19" spans="1:20">
      <c r="A19" s="357" t="s">
        <v>64</v>
      </c>
      <c r="C19" s="357" t="s">
        <v>65</v>
      </c>
      <c r="H19" s="357" t="s">
        <v>2003</v>
      </c>
      <c r="L19" s="362"/>
      <c r="M19" s="617" t="s">
        <v>1230</v>
      </c>
      <c r="N19" s="618" t="s">
        <v>1200</v>
      </c>
      <c r="O19" s="618" t="s">
        <v>1231</v>
      </c>
      <c r="P19" s="359"/>
      <c r="Q19" s="359"/>
      <c r="R19" s="359"/>
      <c r="S19" s="359"/>
      <c r="T19" s="359"/>
    </row>
    <row r="20" spans="1:20">
      <c r="A20" s="357" t="s">
        <v>66</v>
      </c>
      <c r="C20" s="357" t="s">
        <v>1192</v>
      </c>
      <c r="L20" s="362"/>
      <c r="M20" s="617" t="s">
        <v>1232</v>
      </c>
      <c r="N20" s="618" t="s">
        <v>1233</v>
      </c>
      <c r="O20" s="618" t="s">
        <v>1234</v>
      </c>
      <c r="P20" s="359"/>
      <c r="Q20" s="359"/>
      <c r="R20" s="359"/>
      <c r="S20" s="359"/>
      <c r="T20" s="359"/>
    </row>
    <row r="21" spans="1:20">
      <c r="A21" s="357" t="s">
        <v>68</v>
      </c>
      <c r="C21" s="357" t="s">
        <v>67</v>
      </c>
      <c r="L21" s="362"/>
      <c r="M21" s="617" t="s">
        <v>1235</v>
      </c>
      <c r="N21" s="618" t="s">
        <v>1233</v>
      </c>
      <c r="O21" s="618" t="s">
        <v>1236</v>
      </c>
      <c r="P21" s="359"/>
      <c r="Q21" s="359"/>
      <c r="R21" s="359"/>
      <c r="S21" s="359"/>
      <c r="T21" s="359"/>
    </row>
    <row r="22" spans="1:20">
      <c r="A22" s="357" t="s">
        <v>70</v>
      </c>
      <c r="C22" s="357" t="s">
        <v>69</v>
      </c>
      <c r="H22" s="356" t="s">
        <v>1001</v>
      </c>
      <c r="M22" s="617" t="s">
        <v>1237</v>
      </c>
      <c r="N22" s="618" t="s">
        <v>1233</v>
      </c>
      <c r="O22" s="618" t="s">
        <v>1238</v>
      </c>
      <c r="P22" s="359"/>
      <c r="Q22" s="359"/>
      <c r="R22" s="359"/>
      <c r="S22" s="359"/>
      <c r="T22" s="359"/>
    </row>
    <row r="23" spans="1:20">
      <c r="C23" s="357" t="s">
        <v>71</v>
      </c>
      <c r="H23" s="357" t="s">
        <v>997</v>
      </c>
      <c r="M23" s="617" t="s">
        <v>1239</v>
      </c>
      <c r="N23" s="618" t="s">
        <v>1240</v>
      </c>
      <c r="O23" s="618" t="s">
        <v>1241</v>
      </c>
      <c r="P23" s="359"/>
      <c r="Q23" s="359"/>
      <c r="R23" s="359"/>
      <c r="S23" s="359"/>
      <c r="T23" s="359"/>
    </row>
    <row r="24" spans="1:20">
      <c r="C24" s="357" t="s">
        <v>39</v>
      </c>
      <c r="H24" s="357" t="s">
        <v>998</v>
      </c>
      <c r="M24" s="617" t="s">
        <v>1242</v>
      </c>
      <c r="N24" s="618" t="s">
        <v>1240</v>
      </c>
      <c r="O24" s="618" t="s">
        <v>1243</v>
      </c>
      <c r="P24" s="359"/>
      <c r="Q24" s="359"/>
      <c r="R24" s="359"/>
      <c r="S24" s="359"/>
      <c r="T24" s="359"/>
    </row>
    <row r="25" spans="1:20">
      <c r="C25" s="357" t="s">
        <v>72</v>
      </c>
      <c r="H25" s="357" t="s">
        <v>999</v>
      </c>
      <c r="M25" s="617" t="s">
        <v>1244</v>
      </c>
      <c r="N25" s="618" t="s">
        <v>1240</v>
      </c>
      <c r="O25" s="618" t="s">
        <v>1245</v>
      </c>
      <c r="P25" s="359"/>
      <c r="Q25" s="359"/>
      <c r="R25" s="359"/>
      <c r="S25" s="359"/>
      <c r="T25" s="359"/>
    </row>
    <row r="26" spans="1:20">
      <c r="C26" s="357" t="s">
        <v>73</v>
      </c>
      <c r="H26" s="357" t="s">
        <v>1000</v>
      </c>
      <c r="M26" s="617" t="s">
        <v>1246</v>
      </c>
      <c r="N26" s="618" t="s">
        <v>1247</v>
      </c>
      <c r="O26" s="618" t="s">
        <v>1248</v>
      </c>
      <c r="P26" s="359"/>
      <c r="Q26" s="359"/>
      <c r="R26" s="359"/>
      <c r="S26" s="359"/>
      <c r="T26" s="359"/>
    </row>
    <row r="27" spans="1:20">
      <c r="C27" s="357" t="s">
        <v>74</v>
      </c>
      <c r="M27" s="617" t="s">
        <v>1249</v>
      </c>
      <c r="N27" s="618" t="s">
        <v>1240</v>
      </c>
      <c r="O27" s="618" t="s">
        <v>1250</v>
      </c>
      <c r="P27" s="359"/>
      <c r="Q27" s="359"/>
      <c r="R27" s="359"/>
      <c r="S27" s="359"/>
      <c r="T27" s="359"/>
    </row>
    <row r="28" spans="1:20">
      <c r="C28" s="357" t="s">
        <v>75</v>
      </c>
      <c r="M28" s="617" t="s">
        <v>1251</v>
      </c>
      <c r="N28" s="618" t="s">
        <v>1240</v>
      </c>
      <c r="O28" s="618" t="s">
        <v>1252</v>
      </c>
      <c r="P28" s="359"/>
      <c r="Q28" s="359"/>
      <c r="R28" s="359"/>
      <c r="S28" s="359"/>
      <c r="T28" s="359"/>
    </row>
    <row r="29" spans="1:20">
      <c r="C29" s="357" t="s">
        <v>76</v>
      </c>
      <c r="H29" s="356" t="s">
        <v>1581</v>
      </c>
      <c r="M29" s="617" t="s">
        <v>1253</v>
      </c>
      <c r="N29" s="618" t="s">
        <v>1240</v>
      </c>
      <c r="O29" s="618" t="s">
        <v>1254</v>
      </c>
      <c r="P29" s="359"/>
      <c r="Q29" s="359"/>
      <c r="R29" s="359"/>
      <c r="S29" s="359"/>
      <c r="T29" s="359"/>
    </row>
    <row r="30" spans="1:20">
      <c r="C30" s="357" t="s">
        <v>77</v>
      </c>
      <c r="H30" s="357" t="s">
        <v>1582</v>
      </c>
      <c r="M30" s="617" t="s">
        <v>1255</v>
      </c>
      <c r="N30" s="618" t="s">
        <v>1240</v>
      </c>
      <c r="O30" s="618" t="s">
        <v>1256</v>
      </c>
      <c r="P30" s="359"/>
      <c r="Q30" s="359"/>
      <c r="R30" s="359"/>
      <c r="S30" s="359"/>
      <c r="T30" s="359"/>
    </row>
    <row r="31" spans="1:20">
      <c r="C31" s="357" t="s">
        <v>78</v>
      </c>
      <c r="H31" s="357" t="s">
        <v>1583</v>
      </c>
      <c r="M31" s="617" t="s">
        <v>1257</v>
      </c>
      <c r="N31" s="618" t="s">
        <v>1240</v>
      </c>
      <c r="O31" s="618" t="s">
        <v>1258</v>
      </c>
      <c r="P31" s="359"/>
      <c r="Q31" s="359"/>
      <c r="R31" s="359"/>
      <c r="S31" s="359"/>
      <c r="T31" s="359"/>
    </row>
    <row r="32" spans="1:20">
      <c r="C32" s="357" t="s">
        <v>79</v>
      </c>
      <c r="M32" s="617" t="s">
        <v>1259</v>
      </c>
      <c r="N32" s="618" t="s">
        <v>1247</v>
      </c>
      <c r="O32" s="618" t="s">
        <v>1260</v>
      </c>
      <c r="P32" s="359"/>
      <c r="Q32" s="359"/>
      <c r="R32" s="359"/>
      <c r="S32" s="359"/>
      <c r="T32" s="359"/>
    </row>
    <row r="33" spans="3:20">
      <c r="C33" s="357" t="s">
        <v>80</v>
      </c>
      <c r="M33" s="617" t="s">
        <v>1261</v>
      </c>
      <c r="N33" s="618" t="s">
        <v>1262</v>
      </c>
      <c r="O33" s="618" t="s">
        <v>1263</v>
      </c>
      <c r="P33" s="359"/>
      <c r="Q33" s="359"/>
      <c r="R33" s="359"/>
      <c r="S33" s="359"/>
      <c r="T33" s="359"/>
    </row>
    <row r="34" spans="3:20">
      <c r="C34" s="357" t="s">
        <v>81</v>
      </c>
      <c r="M34" s="617" t="s">
        <v>1264</v>
      </c>
      <c r="N34" s="618" t="s">
        <v>1262</v>
      </c>
      <c r="O34" s="618" t="s">
        <v>1265</v>
      </c>
      <c r="P34" s="359"/>
      <c r="Q34" s="359"/>
      <c r="R34" s="359"/>
      <c r="S34" s="359"/>
      <c r="T34" s="359"/>
    </row>
    <row r="35" spans="3:20">
      <c r="C35" s="357" t="s">
        <v>82</v>
      </c>
      <c r="H35" s="356"/>
      <c r="M35" s="617" t="s">
        <v>1266</v>
      </c>
      <c r="N35" s="618" t="s">
        <v>1262</v>
      </c>
      <c r="O35" s="618" t="s">
        <v>1267</v>
      </c>
      <c r="P35" s="359"/>
      <c r="Q35" s="359"/>
      <c r="R35" s="359"/>
      <c r="S35" s="359"/>
      <c r="T35" s="359"/>
    </row>
    <row r="36" spans="3:20">
      <c r="C36" s="357" t="s">
        <v>83</v>
      </c>
      <c r="M36" s="617" t="s">
        <v>1268</v>
      </c>
      <c r="N36" s="618" t="s">
        <v>1262</v>
      </c>
      <c r="O36" s="618" t="s">
        <v>101</v>
      </c>
      <c r="P36" s="359"/>
      <c r="Q36" s="359"/>
      <c r="R36" s="359"/>
      <c r="S36" s="359"/>
      <c r="T36" s="359"/>
    </row>
    <row r="37" spans="3:20">
      <c r="C37" s="357" t="s">
        <v>84</v>
      </c>
      <c r="M37" s="617" t="s">
        <v>1269</v>
      </c>
      <c r="N37" s="618" t="s">
        <v>1262</v>
      </c>
      <c r="O37" s="618" t="s">
        <v>1270</v>
      </c>
      <c r="P37" s="359"/>
      <c r="Q37" s="359"/>
      <c r="R37" s="359"/>
      <c r="S37" s="359"/>
      <c r="T37" s="359"/>
    </row>
    <row r="38" spans="3:20">
      <c r="C38" s="357" t="s">
        <v>85</v>
      </c>
      <c r="M38" s="617" t="s">
        <v>1271</v>
      </c>
      <c r="N38" s="618" t="s">
        <v>1262</v>
      </c>
      <c r="O38" s="618" t="s">
        <v>1272</v>
      </c>
      <c r="P38" s="359"/>
      <c r="Q38" s="359"/>
      <c r="R38" s="359"/>
      <c r="S38" s="359"/>
      <c r="T38" s="359"/>
    </row>
    <row r="39" spans="3:20">
      <c r="C39" s="357" t="s">
        <v>86</v>
      </c>
      <c r="M39" s="617" t="s">
        <v>1273</v>
      </c>
      <c r="N39" s="618" t="s">
        <v>1262</v>
      </c>
      <c r="O39" s="618" t="s">
        <v>1274</v>
      </c>
      <c r="P39" s="359"/>
      <c r="Q39" s="359"/>
      <c r="R39" s="359"/>
      <c r="S39" s="359"/>
      <c r="T39" s="359"/>
    </row>
    <row r="40" spans="3:20">
      <c r="C40" s="357" t="s">
        <v>87</v>
      </c>
      <c r="M40" s="617" t="s">
        <v>1275</v>
      </c>
      <c r="N40" s="618" t="s">
        <v>1262</v>
      </c>
      <c r="O40" s="618" t="s">
        <v>1276</v>
      </c>
      <c r="P40" s="359"/>
      <c r="Q40" s="359"/>
      <c r="R40" s="359"/>
      <c r="S40" s="359"/>
      <c r="T40" s="359"/>
    </row>
    <row r="41" spans="3:20">
      <c r="C41" s="357" t="s">
        <v>88</v>
      </c>
      <c r="M41" s="617" t="s">
        <v>1277</v>
      </c>
      <c r="N41" s="618" t="s">
        <v>1247</v>
      </c>
      <c r="O41" s="618" t="s">
        <v>1278</v>
      </c>
      <c r="P41" s="359"/>
      <c r="Q41" s="359"/>
      <c r="R41" s="359"/>
      <c r="S41" s="359"/>
      <c r="T41" s="359"/>
    </row>
    <row r="42" spans="3:20">
      <c r="C42" s="357" t="s">
        <v>89</v>
      </c>
      <c r="M42" s="617" t="s">
        <v>1279</v>
      </c>
      <c r="N42" s="618" t="s">
        <v>1280</v>
      </c>
      <c r="O42" s="618" t="s">
        <v>1281</v>
      </c>
      <c r="P42" s="359"/>
      <c r="Q42" s="359"/>
      <c r="R42" s="359"/>
      <c r="S42" s="359"/>
      <c r="T42" s="359"/>
    </row>
    <row r="43" spans="3:20">
      <c r="C43" s="357" t="s">
        <v>90</v>
      </c>
      <c r="M43" s="617" t="s">
        <v>1282</v>
      </c>
      <c r="N43" s="618" t="s">
        <v>1280</v>
      </c>
      <c r="O43" s="618" t="s">
        <v>1283</v>
      </c>
      <c r="P43" s="359"/>
      <c r="Q43" s="359"/>
      <c r="R43" s="359"/>
      <c r="S43" s="359"/>
      <c r="T43" s="359"/>
    </row>
    <row r="44" spans="3:20">
      <c r="C44" s="357" t="s">
        <v>91</v>
      </c>
      <c r="M44" s="617" t="s">
        <v>1284</v>
      </c>
      <c r="N44" s="618" t="s">
        <v>1280</v>
      </c>
      <c r="O44" s="618" t="s">
        <v>1285</v>
      </c>
      <c r="P44" s="359"/>
      <c r="Q44" s="359"/>
      <c r="R44" s="359"/>
      <c r="S44" s="359"/>
      <c r="T44" s="359"/>
    </row>
    <row r="45" spans="3:20">
      <c r="C45" s="357" t="s">
        <v>92</v>
      </c>
      <c r="M45" s="617" t="s">
        <v>1286</v>
      </c>
      <c r="N45" s="618" t="s">
        <v>1280</v>
      </c>
      <c r="O45" s="618" t="s">
        <v>1287</v>
      </c>
      <c r="P45" s="359"/>
      <c r="Q45" s="359"/>
      <c r="R45" s="359"/>
      <c r="S45" s="359"/>
      <c r="T45" s="359"/>
    </row>
    <row r="46" spans="3:20">
      <c r="C46" s="357" t="s">
        <v>93</v>
      </c>
      <c r="M46" s="617" t="s">
        <v>1288</v>
      </c>
      <c r="N46" s="618" t="s">
        <v>1280</v>
      </c>
      <c r="O46" s="618" t="s">
        <v>1289</v>
      </c>
      <c r="P46" s="359"/>
      <c r="Q46" s="359"/>
      <c r="R46" s="359"/>
      <c r="S46" s="359"/>
      <c r="T46" s="359"/>
    </row>
    <row r="47" spans="3:20">
      <c r="C47" s="357" t="s">
        <v>94</v>
      </c>
      <c r="M47" s="617" t="s">
        <v>1290</v>
      </c>
      <c r="N47" s="618" t="s">
        <v>1280</v>
      </c>
      <c r="O47" s="618" t="s">
        <v>1291</v>
      </c>
      <c r="P47" s="359"/>
      <c r="Q47" s="359"/>
      <c r="R47" s="359"/>
      <c r="S47" s="359"/>
      <c r="T47" s="359"/>
    </row>
    <row r="48" spans="3:20">
      <c r="C48" s="357" t="s">
        <v>95</v>
      </c>
      <c r="M48" s="617" t="s">
        <v>1292</v>
      </c>
      <c r="N48" s="618" t="s">
        <v>1280</v>
      </c>
      <c r="O48" s="618" t="s">
        <v>1293</v>
      </c>
      <c r="P48" s="359"/>
      <c r="Q48" s="359"/>
      <c r="R48" s="359"/>
      <c r="S48" s="359"/>
      <c r="T48" s="359"/>
    </row>
    <row r="49" spans="3:20">
      <c r="C49" s="357" t="s">
        <v>96</v>
      </c>
      <c r="M49" s="617" t="s">
        <v>1294</v>
      </c>
      <c r="N49" s="618" t="s">
        <v>1247</v>
      </c>
      <c r="O49" s="618" t="s">
        <v>1295</v>
      </c>
      <c r="P49" s="359"/>
      <c r="Q49" s="359"/>
      <c r="R49" s="359"/>
      <c r="S49" s="359"/>
      <c r="T49" s="359"/>
    </row>
    <row r="50" spans="3:20">
      <c r="C50" s="357" t="s">
        <v>97</v>
      </c>
      <c r="M50" s="617" t="s">
        <v>1296</v>
      </c>
      <c r="N50" s="618" t="s">
        <v>1297</v>
      </c>
      <c r="O50" s="618" t="s">
        <v>1298</v>
      </c>
      <c r="P50" s="359"/>
      <c r="Q50" s="359"/>
      <c r="R50" s="359"/>
      <c r="S50" s="359"/>
      <c r="T50" s="359"/>
    </row>
    <row r="51" spans="3:20">
      <c r="C51" s="357" t="s">
        <v>98</v>
      </c>
      <c r="M51" s="617" t="s">
        <v>1299</v>
      </c>
      <c r="N51" s="618" t="s">
        <v>1297</v>
      </c>
      <c r="O51" s="618" t="s">
        <v>1300</v>
      </c>
      <c r="P51" s="359"/>
      <c r="Q51" s="359"/>
      <c r="R51" s="359"/>
      <c r="S51" s="359"/>
      <c r="T51" s="359"/>
    </row>
    <row r="52" spans="3:20">
      <c r="C52" s="357" t="s">
        <v>99</v>
      </c>
      <c r="M52" s="617" t="s">
        <v>1301</v>
      </c>
      <c r="N52" s="618" t="s">
        <v>1297</v>
      </c>
      <c r="O52" s="618" t="s">
        <v>1302</v>
      </c>
      <c r="P52" s="359"/>
      <c r="Q52" s="359"/>
      <c r="R52" s="359"/>
      <c r="S52" s="359"/>
      <c r="T52" s="359"/>
    </row>
    <row r="53" spans="3:20">
      <c r="C53" s="357" t="s">
        <v>100</v>
      </c>
      <c r="M53" s="617" t="s">
        <v>1303</v>
      </c>
      <c r="N53" s="618" t="s">
        <v>1297</v>
      </c>
      <c r="O53" s="618" t="s">
        <v>1304</v>
      </c>
      <c r="P53" s="359"/>
      <c r="Q53" s="359"/>
      <c r="R53" s="359"/>
      <c r="S53" s="359"/>
      <c r="T53" s="359"/>
    </row>
    <row r="54" spans="3:20">
      <c r="C54" s="357" t="s">
        <v>102</v>
      </c>
      <c r="M54" s="617" t="s">
        <v>1305</v>
      </c>
      <c r="N54" s="618" t="s">
        <v>1297</v>
      </c>
      <c r="O54" s="618" t="s">
        <v>1306</v>
      </c>
      <c r="P54" s="359"/>
      <c r="Q54" s="359"/>
      <c r="R54" s="359"/>
      <c r="S54" s="359"/>
      <c r="T54" s="359"/>
    </row>
    <row r="55" spans="3:20">
      <c r="C55" s="357" t="s">
        <v>103</v>
      </c>
      <c r="M55" s="617" t="s">
        <v>1307</v>
      </c>
      <c r="N55" s="618" t="s">
        <v>1297</v>
      </c>
      <c r="O55" s="618" t="s">
        <v>1308</v>
      </c>
      <c r="P55" s="359"/>
      <c r="Q55" s="359"/>
      <c r="R55" s="359"/>
      <c r="S55" s="359"/>
      <c r="T55" s="359"/>
    </row>
    <row r="56" spans="3:20">
      <c r="C56" s="357" t="s">
        <v>104</v>
      </c>
      <c r="M56" s="617" t="s">
        <v>1309</v>
      </c>
      <c r="N56" s="618" t="s">
        <v>1297</v>
      </c>
      <c r="O56" s="618" t="s">
        <v>1310</v>
      </c>
      <c r="P56" s="359"/>
      <c r="Q56" s="359"/>
      <c r="R56" s="359"/>
      <c r="S56" s="359"/>
      <c r="T56" s="359"/>
    </row>
    <row r="57" spans="3:20">
      <c r="C57" s="357" t="s">
        <v>105</v>
      </c>
      <c r="M57" s="617" t="s">
        <v>1311</v>
      </c>
      <c r="N57" s="618" t="s">
        <v>1297</v>
      </c>
      <c r="O57" s="618" t="s">
        <v>1312</v>
      </c>
      <c r="P57" s="359"/>
      <c r="Q57" s="359"/>
      <c r="R57" s="359"/>
      <c r="S57" s="359"/>
      <c r="T57" s="359"/>
    </row>
    <row r="58" spans="3:20">
      <c r="C58" s="357" t="s">
        <v>106</v>
      </c>
      <c r="M58" s="617" t="s">
        <v>1313</v>
      </c>
      <c r="N58" s="618" t="s">
        <v>1247</v>
      </c>
      <c r="O58" s="618" t="s">
        <v>1314</v>
      </c>
      <c r="P58" s="359"/>
      <c r="Q58" s="359"/>
      <c r="R58" s="359"/>
      <c r="S58" s="359"/>
      <c r="T58" s="359"/>
    </row>
    <row r="59" spans="3:20">
      <c r="C59" s="357" t="s">
        <v>107</v>
      </c>
      <c r="M59" s="617" t="s">
        <v>1315</v>
      </c>
      <c r="N59" s="618" t="s">
        <v>1316</v>
      </c>
      <c r="O59" s="618" t="s">
        <v>135</v>
      </c>
      <c r="P59" s="359"/>
      <c r="Q59" s="359"/>
      <c r="R59" s="359"/>
      <c r="S59" s="359"/>
      <c r="T59" s="359"/>
    </row>
    <row r="60" spans="3:20">
      <c r="C60" s="357" t="s">
        <v>108</v>
      </c>
      <c r="M60" s="617" t="s">
        <v>1317</v>
      </c>
      <c r="N60" s="618" t="s">
        <v>1316</v>
      </c>
      <c r="O60" s="618" t="s">
        <v>1318</v>
      </c>
      <c r="P60" s="359"/>
      <c r="Q60" s="359"/>
      <c r="R60" s="359"/>
      <c r="S60" s="359"/>
      <c r="T60" s="359"/>
    </row>
    <row r="61" spans="3:20">
      <c r="C61" s="357" t="s">
        <v>109</v>
      </c>
      <c r="M61" s="617" t="s">
        <v>1319</v>
      </c>
      <c r="N61" s="618" t="s">
        <v>1316</v>
      </c>
      <c r="O61" s="618" t="s">
        <v>1320</v>
      </c>
      <c r="P61" s="359"/>
      <c r="Q61" s="359"/>
      <c r="R61" s="359"/>
      <c r="S61" s="359"/>
      <c r="T61" s="359"/>
    </row>
    <row r="62" spans="3:20">
      <c r="C62" s="357" t="s">
        <v>110</v>
      </c>
      <c r="M62" s="617" t="s">
        <v>1321</v>
      </c>
      <c r="N62" s="618" t="s">
        <v>1322</v>
      </c>
      <c r="O62" s="618" t="s">
        <v>1323</v>
      </c>
      <c r="P62" s="359"/>
      <c r="Q62" s="359"/>
      <c r="R62" s="359"/>
      <c r="S62" s="359"/>
      <c r="T62" s="359"/>
    </row>
    <row r="63" spans="3:20">
      <c r="C63" s="357" t="s">
        <v>111</v>
      </c>
      <c r="M63" s="617" t="s">
        <v>1324</v>
      </c>
      <c r="N63" s="618" t="s">
        <v>1322</v>
      </c>
      <c r="O63" s="618" t="s">
        <v>1325</v>
      </c>
      <c r="P63" s="359"/>
      <c r="Q63" s="359"/>
      <c r="R63" s="359"/>
      <c r="S63" s="359"/>
      <c r="T63" s="359"/>
    </row>
    <row r="64" spans="3:20">
      <c r="C64" s="357" t="s">
        <v>112</v>
      </c>
      <c r="M64" s="617" t="s">
        <v>1326</v>
      </c>
      <c r="N64" s="618" t="s">
        <v>1322</v>
      </c>
      <c r="O64" s="618" t="s">
        <v>1327</v>
      </c>
      <c r="P64" s="359"/>
      <c r="Q64" s="359"/>
      <c r="R64" s="359"/>
      <c r="S64" s="359"/>
      <c r="T64" s="359"/>
    </row>
    <row r="65" spans="3:20">
      <c r="C65" s="357" t="s">
        <v>113</v>
      </c>
      <c r="M65" s="617" t="s">
        <v>1328</v>
      </c>
      <c r="N65" s="618" t="s">
        <v>1247</v>
      </c>
      <c r="O65" s="618" t="s">
        <v>1329</v>
      </c>
      <c r="P65" s="359"/>
      <c r="Q65" s="359"/>
      <c r="R65" s="359"/>
      <c r="S65" s="359"/>
      <c r="T65" s="359"/>
    </row>
    <row r="66" spans="3:20">
      <c r="C66" s="357" t="s">
        <v>114</v>
      </c>
      <c r="M66" s="617" t="s">
        <v>1330</v>
      </c>
      <c r="N66" s="618" t="s">
        <v>1331</v>
      </c>
      <c r="O66" s="618" t="s">
        <v>1332</v>
      </c>
      <c r="P66" s="359"/>
      <c r="Q66" s="359"/>
      <c r="R66" s="359"/>
      <c r="S66" s="359"/>
      <c r="T66" s="359"/>
    </row>
    <row r="67" spans="3:20">
      <c r="C67" s="357" t="s">
        <v>115</v>
      </c>
      <c r="M67" s="617" t="s">
        <v>1333</v>
      </c>
      <c r="N67" s="618" t="s">
        <v>1331</v>
      </c>
      <c r="O67" s="618" t="s">
        <v>1334</v>
      </c>
      <c r="P67" s="359"/>
      <c r="Q67" s="359"/>
      <c r="R67" s="359"/>
      <c r="S67" s="359"/>
      <c r="T67" s="359"/>
    </row>
    <row r="68" spans="3:20">
      <c r="C68" s="357" t="s">
        <v>116</v>
      </c>
      <c r="M68" s="617" t="s">
        <v>1335</v>
      </c>
      <c r="N68" s="618" t="s">
        <v>1331</v>
      </c>
      <c r="O68" s="618" t="s">
        <v>1336</v>
      </c>
      <c r="P68" s="359"/>
      <c r="Q68" s="359"/>
      <c r="R68" s="359"/>
      <c r="S68" s="359"/>
      <c r="T68" s="359"/>
    </row>
    <row r="69" spans="3:20">
      <c r="C69" s="357" t="s">
        <v>117</v>
      </c>
      <c r="M69" s="617" t="s">
        <v>1337</v>
      </c>
      <c r="N69" s="618" t="s">
        <v>1331</v>
      </c>
      <c r="O69" s="618" t="s">
        <v>1338</v>
      </c>
      <c r="P69" s="359"/>
      <c r="Q69" s="359"/>
      <c r="R69" s="359"/>
      <c r="S69" s="359"/>
      <c r="T69" s="359"/>
    </row>
    <row r="70" spans="3:20">
      <c r="C70" s="357" t="s">
        <v>118</v>
      </c>
      <c r="M70" s="617" t="s">
        <v>1339</v>
      </c>
      <c r="N70" s="618" t="s">
        <v>1340</v>
      </c>
      <c r="O70" s="618" t="s">
        <v>1341</v>
      </c>
      <c r="P70" s="359"/>
      <c r="Q70" s="359"/>
      <c r="R70" s="359"/>
      <c r="S70" s="359"/>
      <c r="T70" s="359"/>
    </row>
    <row r="71" spans="3:20">
      <c r="C71" s="357" t="s">
        <v>119</v>
      </c>
      <c r="M71" s="617" t="s">
        <v>1342</v>
      </c>
      <c r="N71" s="618" t="s">
        <v>1340</v>
      </c>
      <c r="O71" s="618" t="s">
        <v>1343</v>
      </c>
      <c r="P71" s="359"/>
      <c r="Q71" s="359"/>
      <c r="R71" s="359"/>
      <c r="S71" s="359"/>
      <c r="T71" s="359"/>
    </row>
    <row r="72" spans="3:20">
      <c r="C72" s="357" t="s">
        <v>120</v>
      </c>
      <c r="M72" s="617" t="s">
        <v>1344</v>
      </c>
      <c r="N72" s="618" t="s">
        <v>1340</v>
      </c>
      <c r="O72" s="618" t="s">
        <v>1345</v>
      </c>
      <c r="P72" s="359"/>
      <c r="Q72" s="359"/>
      <c r="R72" s="359"/>
      <c r="S72" s="359"/>
      <c r="T72" s="359"/>
    </row>
    <row r="73" spans="3:20">
      <c r="C73" s="357" t="s">
        <v>121</v>
      </c>
      <c r="M73" s="617" t="s">
        <v>1346</v>
      </c>
      <c r="N73" s="618" t="s">
        <v>1240</v>
      </c>
      <c r="O73" s="618" t="s">
        <v>1347</v>
      </c>
      <c r="P73" s="359"/>
      <c r="Q73" s="359"/>
      <c r="R73" s="359"/>
      <c r="S73" s="359"/>
      <c r="T73" s="359"/>
    </row>
    <row r="74" spans="3:20">
      <c r="C74" s="357" t="s">
        <v>122</v>
      </c>
      <c r="M74" s="617" t="s">
        <v>1348</v>
      </c>
      <c r="N74" s="618" t="s">
        <v>1340</v>
      </c>
      <c r="O74" s="618" t="s">
        <v>1349</v>
      </c>
      <c r="P74" s="359"/>
      <c r="Q74" s="359"/>
      <c r="R74" s="359"/>
      <c r="S74" s="359"/>
      <c r="T74" s="359"/>
    </row>
    <row r="75" spans="3:20">
      <c r="C75" s="357" t="s">
        <v>123</v>
      </c>
      <c r="M75" s="617" t="s">
        <v>1350</v>
      </c>
      <c r="N75" s="618" t="s">
        <v>1340</v>
      </c>
      <c r="O75" s="618" t="s">
        <v>1351</v>
      </c>
      <c r="P75" s="359"/>
      <c r="Q75" s="359"/>
      <c r="R75" s="359"/>
      <c r="S75" s="359"/>
      <c r="T75" s="359"/>
    </row>
    <row r="76" spans="3:20">
      <c r="C76" s="357" t="s">
        <v>124</v>
      </c>
      <c r="M76" s="617" t="s">
        <v>1352</v>
      </c>
      <c r="N76" s="618" t="s">
        <v>1247</v>
      </c>
      <c r="O76" s="618" t="s">
        <v>1353</v>
      </c>
      <c r="P76" s="359"/>
      <c r="Q76" s="359"/>
      <c r="R76" s="359"/>
      <c r="S76" s="359"/>
      <c r="T76" s="359"/>
    </row>
    <row r="77" spans="3:20">
      <c r="C77" s="357" t="s">
        <v>125</v>
      </c>
      <c r="M77" s="617" t="s">
        <v>1354</v>
      </c>
      <c r="N77" s="618" t="s">
        <v>1247</v>
      </c>
      <c r="O77" s="618" t="s">
        <v>1355</v>
      </c>
      <c r="P77" s="359"/>
      <c r="Q77" s="359"/>
      <c r="R77" s="359"/>
      <c r="S77" s="359"/>
      <c r="T77" s="359"/>
    </row>
    <row r="78" spans="3:20">
      <c r="C78" s="357" t="s">
        <v>126</v>
      </c>
      <c r="M78" s="617" t="s">
        <v>1356</v>
      </c>
      <c r="N78" s="618" t="s">
        <v>1357</v>
      </c>
      <c r="O78" s="618" t="s">
        <v>1358</v>
      </c>
      <c r="P78" s="359"/>
      <c r="Q78" s="359"/>
      <c r="R78" s="359"/>
      <c r="S78" s="359"/>
      <c r="T78" s="359"/>
    </row>
    <row r="79" spans="3:20">
      <c r="C79" s="357" t="s">
        <v>127</v>
      </c>
      <c r="M79" s="617" t="s">
        <v>1359</v>
      </c>
      <c r="N79" s="618" t="s">
        <v>1357</v>
      </c>
      <c r="O79" s="618" t="s">
        <v>1360</v>
      </c>
      <c r="P79" s="359"/>
      <c r="Q79" s="359"/>
      <c r="R79" s="359"/>
      <c r="S79" s="359"/>
      <c r="T79" s="359"/>
    </row>
    <row r="80" spans="3:20">
      <c r="C80" s="357" t="s">
        <v>128</v>
      </c>
      <c r="M80" s="617" t="s">
        <v>1361</v>
      </c>
      <c r="N80" s="618" t="s">
        <v>1357</v>
      </c>
      <c r="O80" s="618" t="s">
        <v>1362</v>
      </c>
      <c r="P80" s="359"/>
      <c r="Q80" s="359"/>
      <c r="R80" s="359"/>
      <c r="S80" s="359"/>
      <c r="T80" s="359"/>
    </row>
    <row r="81" spans="3:20">
      <c r="C81" s="357" t="s">
        <v>129</v>
      </c>
      <c r="M81" s="617" t="s">
        <v>1363</v>
      </c>
      <c r="N81" s="618" t="s">
        <v>1357</v>
      </c>
      <c r="O81" s="618" t="s">
        <v>1364</v>
      </c>
      <c r="P81" s="359"/>
      <c r="Q81" s="359"/>
      <c r="R81" s="359"/>
      <c r="S81" s="359"/>
      <c r="T81" s="359"/>
    </row>
    <row r="82" spans="3:20">
      <c r="C82" s="357" t="s">
        <v>130</v>
      </c>
      <c r="M82" s="617" t="s">
        <v>1365</v>
      </c>
      <c r="N82" s="618" t="s">
        <v>1357</v>
      </c>
      <c r="O82" s="618" t="s">
        <v>1366</v>
      </c>
      <c r="P82" s="359"/>
      <c r="Q82" s="359"/>
      <c r="R82" s="359"/>
      <c r="S82" s="359"/>
      <c r="T82" s="359"/>
    </row>
    <row r="83" spans="3:20">
      <c r="C83" s="357" t="s">
        <v>131</v>
      </c>
      <c r="M83" s="617" t="s">
        <v>1367</v>
      </c>
      <c r="N83" s="618" t="s">
        <v>1198</v>
      </c>
      <c r="O83" s="618" t="s">
        <v>1368</v>
      </c>
      <c r="P83" s="359"/>
      <c r="Q83" s="359"/>
      <c r="R83" s="359"/>
      <c r="S83" s="359"/>
      <c r="T83" s="359"/>
    </row>
    <row r="84" spans="3:20">
      <c r="C84" s="357" t="s">
        <v>132</v>
      </c>
      <c r="M84" s="617" t="s">
        <v>1369</v>
      </c>
      <c r="N84" s="618" t="s">
        <v>1247</v>
      </c>
      <c r="O84" s="618" t="s">
        <v>1370</v>
      </c>
      <c r="P84" s="359"/>
      <c r="Q84" s="359"/>
      <c r="R84" s="359"/>
      <c r="S84" s="359"/>
      <c r="T84" s="359"/>
    </row>
    <row r="85" spans="3:20">
      <c r="C85" s="357" t="s">
        <v>133</v>
      </c>
      <c r="M85" s="617" t="s">
        <v>1371</v>
      </c>
      <c r="N85" s="618" t="s">
        <v>1247</v>
      </c>
      <c r="O85" s="618" t="s">
        <v>1372</v>
      </c>
      <c r="P85" s="359"/>
      <c r="Q85" s="359"/>
      <c r="R85" s="359"/>
      <c r="S85" s="359"/>
      <c r="T85" s="359"/>
    </row>
    <row r="86" spans="3:20">
      <c r="C86" s="357" t="s">
        <v>134</v>
      </c>
      <c r="M86" s="617" t="s">
        <v>1373</v>
      </c>
      <c r="N86" s="618" t="s">
        <v>1374</v>
      </c>
      <c r="O86" s="618" t="s">
        <v>1375</v>
      </c>
      <c r="P86" s="359"/>
      <c r="Q86" s="359"/>
      <c r="R86" s="359"/>
      <c r="S86" s="359"/>
      <c r="T86" s="359"/>
    </row>
    <row r="87" spans="3:20">
      <c r="C87" s="357" t="s">
        <v>136</v>
      </c>
      <c r="M87" s="617" t="s">
        <v>1376</v>
      </c>
      <c r="N87" s="618" t="s">
        <v>1374</v>
      </c>
      <c r="O87" s="618" t="s">
        <v>1377</v>
      </c>
      <c r="P87" s="359"/>
      <c r="Q87" s="359"/>
      <c r="R87" s="359"/>
      <c r="S87" s="359"/>
      <c r="T87" s="359"/>
    </row>
    <row r="88" spans="3:20">
      <c r="C88" s="357" t="s">
        <v>137</v>
      </c>
      <c r="M88" s="617" t="s">
        <v>1378</v>
      </c>
      <c r="N88" s="618" t="s">
        <v>1374</v>
      </c>
      <c r="O88" s="618" t="s">
        <v>1379</v>
      </c>
      <c r="P88" s="359"/>
      <c r="Q88" s="359"/>
      <c r="R88" s="359"/>
      <c r="S88" s="359"/>
      <c r="T88" s="359"/>
    </row>
    <row r="89" spans="3:20">
      <c r="C89" s="357" t="s">
        <v>138</v>
      </c>
      <c r="M89" s="617" t="s">
        <v>1380</v>
      </c>
      <c r="N89" s="618" t="s">
        <v>1374</v>
      </c>
      <c r="O89" s="618" t="s">
        <v>1381</v>
      </c>
      <c r="P89" s="359"/>
      <c r="Q89" s="359"/>
      <c r="R89" s="359"/>
      <c r="S89" s="359"/>
      <c r="T89" s="359"/>
    </row>
    <row r="90" spans="3:20">
      <c r="C90" s="357" t="s">
        <v>139</v>
      </c>
      <c r="M90" s="617" t="s">
        <v>1382</v>
      </c>
      <c r="N90" s="618" t="s">
        <v>1374</v>
      </c>
      <c r="O90" s="618" t="s">
        <v>1383</v>
      </c>
      <c r="P90" s="359"/>
      <c r="Q90" s="359"/>
      <c r="R90" s="359"/>
      <c r="S90" s="359"/>
      <c r="T90" s="359"/>
    </row>
    <row r="91" spans="3:20">
      <c r="C91" s="357" t="s">
        <v>140</v>
      </c>
      <c r="M91" s="617" t="s">
        <v>1384</v>
      </c>
      <c r="N91" s="618" t="s">
        <v>1198</v>
      </c>
      <c r="O91" s="618" t="s">
        <v>1385</v>
      </c>
      <c r="P91" s="359"/>
      <c r="Q91" s="359"/>
      <c r="R91" s="359"/>
      <c r="S91" s="359"/>
      <c r="T91" s="359"/>
    </row>
    <row r="92" spans="3:20">
      <c r="C92" s="357" t="s">
        <v>141</v>
      </c>
      <c r="M92" s="617" t="s">
        <v>1386</v>
      </c>
      <c r="N92" s="618" t="s">
        <v>1374</v>
      </c>
      <c r="O92" s="618" t="s">
        <v>1387</v>
      </c>
      <c r="P92" s="359"/>
      <c r="Q92" s="359"/>
      <c r="R92" s="359"/>
      <c r="S92" s="359"/>
      <c r="T92" s="359"/>
    </row>
    <row r="93" spans="3:20">
      <c r="C93" s="357" t="s">
        <v>142</v>
      </c>
      <c r="M93" s="617" t="s">
        <v>1388</v>
      </c>
      <c r="N93" s="618" t="s">
        <v>1374</v>
      </c>
      <c r="O93" s="618" t="s">
        <v>1389</v>
      </c>
      <c r="P93" s="359"/>
      <c r="Q93" s="359"/>
      <c r="R93" s="359"/>
      <c r="S93" s="359"/>
      <c r="T93" s="359"/>
    </row>
    <row r="94" spans="3:20">
      <c r="C94" s="357" t="s">
        <v>143</v>
      </c>
      <c r="M94" s="617" t="s">
        <v>1390</v>
      </c>
      <c r="N94" s="618" t="s">
        <v>1374</v>
      </c>
      <c r="O94" s="618" t="s">
        <v>1391</v>
      </c>
      <c r="P94" s="359"/>
      <c r="Q94" s="359"/>
      <c r="R94" s="359"/>
      <c r="S94" s="359"/>
      <c r="T94" s="359"/>
    </row>
    <row r="95" spans="3:20">
      <c r="C95" s="357" t="s">
        <v>144</v>
      </c>
      <c r="M95" s="617" t="s">
        <v>1392</v>
      </c>
      <c r="N95" s="618" t="s">
        <v>1374</v>
      </c>
      <c r="O95" s="618" t="s">
        <v>1393</v>
      </c>
      <c r="P95" s="359"/>
      <c r="Q95" s="359"/>
      <c r="R95" s="359"/>
      <c r="S95" s="359"/>
      <c r="T95" s="359"/>
    </row>
    <row r="96" spans="3:20">
      <c r="C96" s="357" t="s">
        <v>145</v>
      </c>
      <c r="M96" s="617" t="s">
        <v>1394</v>
      </c>
      <c r="N96" s="618" t="s">
        <v>1374</v>
      </c>
      <c r="O96" s="618" t="s">
        <v>1395</v>
      </c>
      <c r="P96" s="359"/>
      <c r="Q96" s="359"/>
      <c r="R96" s="359"/>
      <c r="S96" s="359"/>
      <c r="T96" s="359"/>
    </row>
    <row r="97" spans="3:20">
      <c r="C97" s="357" t="s">
        <v>146</v>
      </c>
      <c r="M97" s="617" t="s">
        <v>1396</v>
      </c>
      <c r="N97" s="618" t="s">
        <v>1374</v>
      </c>
      <c r="O97" s="618" t="s">
        <v>1397</v>
      </c>
      <c r="P97" s="359"/>
      <c r="Q97" s="359"/>
      <c r="R97" s="359"/>
      <c r="S97" s="359"/>
      <c r="T97" s="359"/>
    </row>
    <row r="98" spans="3:20">
      <c r="C98" s="357" t="s">
        <v>147</v>
      </c>
      <c r="M98" s="617" t="s">
        <v>1398</v>
      </c>
      <c r="N98" s="618" t="s">
        <v>1374</v>
      </c>
      <c r="O98" s="618" t="s">
        <v>1399</v>
      </c>
      <c r="P98" s="359"/>
      <c r="Q98" s="359"/>
      <c r="R98" s="359"/>
      <c r="S98" s="359"/>
      <c r="T98" s="359"/>
    </row>
    <row r="99" spans="3:20">
      <c r="C99" s="357" t="s">
        <v>148</v>
      </c>
      <c r="M99" s="617" t="s">
        <v>1400</v>
      </c>
      <c r="N99" s="618" t="s">
        <v>1374</v>
      </c>
      <c r="O99" s="618" t="s">
        <v>178</v>
      </c>
      <c r="P99" s="359"/>
      <c r="Q99" s="359"/>
      <c r="R99" s="359"/>
      <c r="S99" s="359"/>
      <c r="T99" s="359"/>
    </row>
    <row r="100" spans="3:20">
      <c r="C100" s="357" t="s">
        <v>149</v>
      </c>
      <c r="M100" s="617" t="s">
        <v>1401</v>
      </c>
      <c r="N100" s="618" t="s">
        <v>1374</v>
      </c>
      <c r="O100" s="618" t="s">
        <v>1402</v>
      </c>
      <c r="P100" s="359"/>
      <c r="Q100" s="359"/>
      <c r="R100" s="359"/>
      <c r="S100" s="359"/>
      <c r="T100" s="359"/>
    </row>
    <row r="101" spans="3:20">
      <c r="C101" s="357" t="s">
        <v>150</v>
      </c>
      <c r="M101" s="617" t="s">
        <v>1403</v>
      </c>
      <c r="N101" s="618" t="s">
        <v>1374</v>
      </c>
      <c r="O101" s="618" t="s">
        <v>1404</v>
      </c>
      <c r="P101" s="359"/>
      <c r="Q101" s="359"/>
      <c r="R101" s="359"/>
      <c r="S101" s="359"/>
      <c r="T101" s="359"/>
    </row>
    <row r="102" spans="3:20">
      <c r="C102" s="357" t="s">
        <v>151</v>
      </c>
      <c r="M102" s="617" t="s">
        <v>1405</v>
      </c>
      <c r="N102" s="618" t="s">
        <v>1374</v>
      </c>
      <c r="O102" s="618" t="s">
        <v>1406</v>
      </c>
      <c r="P102" s="359"/>
      <c r="Q102" s="359"/>
      <c r="R102" s="359"/>
      <c r="S102" s="359"/>
      <c r="T102" s="359"/>
    </row>
    <row r="103" spans="3:20">
      <c r="C103" s="357" t="s">
        <v>152</v>
      </c>
      <c r="M103" s="617" t="s">
        <v>1407</v>
      </c>
      <c r="N103" s="618" t="s">
        <v>1374</v>
      </c>
      <c r="O103" s="618" t="s">
        <v>1408</v>
      </c>
      <c r="P103" s="359"/>
      <c r="Q103" s="359"/>
      <c r="R103" s="359"/>
      <c r="S103" s="359"/>
      <c r="T103" s="359"/>
    </row>
    <row r="104" spans="3:20">
      <c r="C104" s="357" t="s">
        <v>153</v>
      </c>
      <c r="M104" s="617" t="s">
        <v>1409</v>
      </c>
      <c r="N104" s="618" t="s">
        <v>1374</v>
      </c>
      <c r="O104" s="618" t="s">
        <v>1410</v>
      </c>
      <c r="P104" s="359"/>
      <c r="Q104" s="359"/>
      <c r="R104" s="359"/>
      <c r="S104" s="359"/>
      <c r="T104" s="359"/>
    </row>
    <row r="105" spans="3:20">
      <c r="C105" s="357" t="s">
        <v>154</v>
      </c>
      <c r="M105" s="617" t="s">
        <v>1411</v>
      </c>
      <c r="N105" s="618" t="s">
        <v>1374</v>
      </c>
      <c r="O105" s="618" t="s">
        <v>1412</v>
      </c>
      <c r="P105" s="359"/>
      <c r="Q105" s="359"/>
      <c r="R105" s="359"/>
      <c r="S105" s="359"/>
      <c r="T105" s="359"/>
    </row>
    <row r="106" spans="3:20">
      <c r="C106" s="357" t="s">
        <v>155</v>
      </c>
      <c r="M106" s="617" t="s">
        <v>1413</v>
      </c>
      <c r="N106" s="618" t="s">
        <v>1374</v>
      </c>
      <c r="O106" s="618" t="s">
        <v>1414</v>
      </c>
      <c r="P106" s="359"/>
      <c r="Q106" s="359"/>
      <c r="R106" s="359"/>
      <c r="S106" s="359"/>
      <c r="T106" s="359"/>
    </row>
    <row r="107" spans="3:20">
      <c r="C107" s="357" t="s">
        <v>156</v>
      </c>
      <c r="M107" s="617" t="s">
        <v>1415</v>
      </c>
      <c r="N107" s="618" t="s">
        <v>1374</v>
      </c>
      <c r="O107" s="618" t="s">
        <v>1416</v>
      </c>
      <c r="P107" s="359"/>
      <c r="Q107" s="359"/>
      <c r="R107" s="359"/>
      <c r="S107" s="359"/>
      <c r="T107" s="359"/>
    </row>
    <row r="108" spans="3:20">
      <c r="C108" s="357" t="s">
        <v>157</v>
      </c>
      <c r="M108" s="617" t="s">
        <v>1417</v>
      </c>
      <c r="N108" s="618" t="s">
        <v>1374</v>
      </c>
      <c r="O108" s="618" t="s">
        <v>1418</v>
      </c>
      <c r="P108" s="359"/>
      <c r="Q108" s="359"/>
      <c r="R108" s="359"/>
      <c r="S108" s="359"/>
      <c r="T108" s="359"/>
    </row>
    <row r="109" spans="3:20">
      <c r="C109" s="357" t="s">
        <v>158</v>
      </c>
      <c r="M109" s="617" t="s">
        <v>1419</v>
      </c>
      <c r="N109" s="618" t="s">
        <v>1374</v>
      </c>
      <c r="O109" s="618" t="s">
        <v>1420</v>
      </c>
      <c r="P109" s="359"/>
      <c r="Q109" s="359"/>
      <c r="R109" s="359"/>
      <c r="S109" s="359"/>
      <c r="T109" s="359"/>
    </row>
    <row r="110" spans="3:20">
      <c r="C110" s="357" t="s">
        <v>159</v>
      </c>
      <c r="M110" s="617" t="s">
        <v>1421</v>
      </c>
      <c r="N110" s="618" t="s">
        <v>1374</v>
      </c>
      <c r="O110" s="618" t="s">
        <v>1422</v>
      </c>
      <c r="P110" s="359"/>
      <c r="Q110" s="359"/>
      <c r="R110" s="359"/>
      <c r="S110" s="359"/>
      <c r="T110" s="359"/>
    </row>
    <row r="111" spans="3:20">
      <c r="C111" s="357" t="s">
        <v>160</v>
      </c>
      <c r="M111" s="617" t="s">
        <v>1423</v>
      </c>
      <c r="N111" s="618" t="s">
        <v>1374</v>
      </c>
      <c r="O111" s="618" t="s">
        <v>1424</v>
      </c>
      <c r="P111" s="359"/>
      <c r="Q111" s="359"/>
      <c r="R111" s="359"/>
      <c r="S111" s="359"/>
      <c r="T111" s="359"/>
    </row>
    <row r="112" spans="3:20">
      <c r="C112" s="357" t="s">
        <v>161</v>
      </c>
      <c r="M112" s="617" t="s">
        <v>1425</v>
      </c>
      <c r="N112" s="618" t="s">
        <v>1374</v>
      </c>
      <c r="O112" s="618" t="s">
        <v>1426</v>
      </c>
      <c r="P112" s="359"/>
      <c r="Q112" s="359"/>
      <c r="R112" s="359"/>
      <c r="S112" s="359"/>
      <c r="T112" s="359"/>
    </row>
    <row r="113" spans="3:20">
      <c r="C113" s="357" t="s">
        <v>162</v>
      </c>
      <c r="M113" s="617" t="s">
        <v>1427</v>
      </c>
      <c r="N113" s="618" t="s">
        <v>1198</v>
      </c>
      <c r="O113" s="618" t="s">
        <v>1428</v>
      </c>
      <c r="P113" s="359"/>
      <c r="Q113" s="359"/>
      <c r="R113" s="359"/>
      <c r="S113" s="359"/>
      <c r="T113" s="359"/>
    </row>
    <row r="114" spans="3:20">
      <c r="C114" s="357" t="s">
        <v>163</v>
      </c>
      <c r="M114" s="617" t="s">
        <v>1429</v>
      </c>
      <c r="N114" s="618" t="s">
        <v>1374</v>
      </c>
      <c r="O114" s="618" t="s">
        <v>1430</v>
      </c>
      <c r="P114" s="359"/>
      <c r="Q114" s="359"/>
      <c r="R114" s="359"/>
      <c r="S114" s="359"/>
      <c r="T114" s="359"/>
    </row>
    <row r="115" spans="3:20">
      <c r="C115" s="357" t="s">
        <v>164</v>
      </c>
      <c r="M115" s="617" t="s">
        <v>1431</v>
      </c>
      <c r="N115" s="618" t="s">
        <v>1374</v>
      </c>
      <c r="O115" s="618" t="s">
        <v>1432</v>
      </c>
      <c r="P115" s="359"/>
      <c r="Q115" s="359"/>
      <c r="R115" s="359"/>
      <c r="S115" s="359"/>
      <c r="T115" s="359"/>
    </row>
    <row r="116" spans="3:20">
      <c r="C116" s="357" t="s">
        <v>165</v>
      </c>
      <c r="M116" s="617" t="s">
        <v>1433</v>
      </c>
      <c r="N116" s="618" t="s">
        <v>1374</v>
      </c>
      <c r="O116" s="618" t="s">
        <v>180</v>
      </c>
      <c r="P116" s="359"/>
      <c r="Q116" s="359"/>
      <c r="R116" s="359"/>
      <c r="S116" s="359"/>
      <c r="T116" s="359"/>
    </row>
    <row r="117" spans="3:20">
      <c r="C117" s="357" t="s">
        <v>166</v>
      </c>
      <c r="M117" s="617" t="s">
        <v>1434</v>
      </c>
      <c r="N117" s="618" t="s">
        <v>1374</v>
      </c>
      <c r="O117" s="618" t="s">
        <v>1435</v>
      </c>
      <c r="P117" s="359"/>
      <c r="Q117" s="359"/>
      <c r="R117" s="359"/>
      <c r="S117" s="359"/>
      <c r="T117" s="359"/>
    </row>
    <row r="118" spans="3:20">
      <c r="C118" s="357" t="s">
        <v>167</v>
      </c>
      <c r="M118" s="617" t="s">
        <v>1436</v>
      </c>
      <c r="N118" s="618" t="s">
        <v>1374</v>
      </c>
      <c r="O118" s="618" t="s">
        <v>1437</v>
      </c>
      <c r="P118" s="359"/>
      <c r="Q118" s="359"/>
      <c r="R118" s="359"/>
      <c r="S118" s="359"/>
      <c r="T118" s="359"/>
    </row>
    <row r="119" spans="3:20">
      <c r="C119" s="357" t="s">
        <v>168</v>
      </c>
      <c r="M119" s="617" t="s">
        <v>1438</v>
      </c>
      <c r="N119" s="618" t="s">
        <v>1439</v>
      </c>
      <c r="O119" s="618" t="s">
        <v>1440</v>
      </c>
      <c r="P119" s="359"/>
      <c r="Q119" s="359"/>
      <c r="R119" s="359"/>
      <c r="S119" s="359"/>
      <c r="T119" s="359"/>
    </row>
    <row r="120" spans="3:20">
      <c r="C120" s="357" t="s">
        <v>169</v>
      </c>
      <c r="M120" s="617" t="s">
        <v>1441</v>
      </c>
      <c r="N120" s="618" t="s">
        <v>1439</v>
      </c>
      <c r="O120" s="618" t="s">
        <v>1442</v>
      </c>
      <c r="P120" s="359"/>
      <c r="Q120" s="359"/>
      <c r="R120" s="359"/>
      <c r="S120" s="359"/>
      <c r="T120" s="359"/>
    </row>
    <row r="121" spans="3:20">
      <c r="C121" s="357" t="s">
        <v>170</v>
      </c>
      <c r="M121" s="617" t="s">
        <v>1443</v>
      </c>
      <c r="N121" s="618" t="s">
        <v>1444</v>
      </c>
      <c r="O121" s="618" t="s">
        <v>1428</v>
      </c>
      <c r="P121" s="359"/>
      <c r="Q121" s="359"/>
      <c r="R121" s="359"/>
      <c r="S121" s="359"/>
      <c r="T121" s="359"/>
    </row>
    <row r="122" spans="3:20">
      <c r="C122" s="357" t="s">
        <v>171</v>
      </c>
      <c r="M122" s="617" t="s">
        <v>1445</v>
      </c>
      <c r="N122" s="618" t="s">
        <v>1444</v>
      </c>
      <c r="O122" s="618" t="s">
        <v>1446</v>
      </c>
      <c r="P122" s="359"/>
      <c r="Q122" s="359"/>
      <c r="R122" s="359"/>
      <c r="S122" s="359"/>
      <c r="T122" s="359"/>
    </row>
    <row r="123" spans="3:20">
      <c r="C123" s="357" t="s">
        <v>172</v>
      </c>
      <c r="M123" s="617" t="s">
        <v>1447</v>
      </c>
      <c r="N123" s="618" t="s">
        <v>1444</v>
      </c>
      <c r="O123" s="618" t="s">
        <v>1448</v>
      </c>
      <c r="P123" s="359"/>
      <c r="Q123" s="359"/>
      <c r="R123" s="359"/>
      <c r="S123" s="359"/>
      <c r="T123" s="359"/>
    </row>
    <row r="124" spans="3:20">
      <c r="C124" s="357" t="s">
        <v>173</v>
      </c>
      <c r="M124" s="617" t="s">
        <v>1449</v>
      </c>
      <c r="N124" s="618" t="s">
        <v>1444</v>
      </c>
      <c r="O124" s="618" t="s">
        <v>1450</v>
      </c>
      <c r="P124" s="359"/>
      <c r="Q124" s="359"/>
      <c r="R124" s="359"/>
      <c r="S124" s="359"/>
      <c r="T124" s="359"/>
    </row>
    <row r="125" spans="3:20">
      <c r="C125" s="357" t="s">
        <v>174</v>
      </c>
      <c r="M125" s="617" t="s">
        <v>1451</v>
      </c>
      <c r="N125" s="618" t="s">
        <v>1444</v>
      </c>
      <c r="O125" s="618" t="s">
        <v>1452</v>
      </c>
      <c r="P125" s="359"/>
      <c r="Q125" s="359"/>
      <c r="R125" s="359"/>
      <c r="S125" s="359"/>
      <c r="T125" s="359"/>
    </row>
    <row r="126" spans="3:20">
      <c r="C126" s="357" t="s">
        <v>175</v>
      </c>
      <c r="M126" s="617" t="s">
        <v>1453</v>
      </c>
      <c r="N126" s="618" t="s">
        <v>1444</v>
      </c>
      <c r="O126" s="618" t="s">
        <v>1454</v>
      </c>
      <c r="P126" s="359"/>
      <c r="Q126" s="359"/>
      <c r="R126" s="359"/>
      <c r="S126" s="359"/>
      <c r="T126" s="359"/>
    </row>
    <row r="127" spans="3:20">
      <c r="C127" s="357" t="s">
        <v>176</v>
      </c>
      <c r="M127" s="617" t="s">
        <v>1455</v>
      </c>
      <c r="N127" s="618" t="s">
        <v>1444</v>
      </c>
      <c r="O127" s="618" t="s">
        <v>1456</v>
      </c>
      <c r="P127" s="359"/>
      <c r="Q127" s="359"/>
      <c r="R127" s="359"/>
      <c r="S127" s="359"/>
      <c r="T127" s="359"/>
    </row>
    <row r="128" spans="3:20">
      <c r="C128" s="357" t="s">
        <v>177</v>
      </c>
      <c r="M128" s="617" t="s">
        <v>1457</v>
      </c>
      <c r="N128" s="618" t="s">
        <v>1198</v>
      </c>
      <c r="O128" s="618" t="s">
        <v>1458</v>
      </c>
      <c r="P128" s="359"/>
      <c r="Q128" s="359"/>
      <c r="R128" s="359"/>
      <c r="S128" s="359"/>
      <c r="T128" s="359"/>
    </row>
    <row r="129" spans="13:20">
      <c r="M129" s="617" t="s">
        <v>1459</v>
      </c>
      <c r="N129" s="618" t="s">
        <v>1198</v>
      </c>
      <c r="O129" s="618" t="s">
        <v>1460</v>
      </c>
      <c r="P129" s="359"/>
      <c r="Q129" s="359"/>
      <c r="R129" s="359"/>
      <c r="S129" s="359"/>
      <c r="T129" s="359"/>
    </row>
    <row r="130" spans="13:20">
      <c r="M130" s="617" t="s">
        <v>1461</v>
      </c>
      <c r="N130" s="618" t="s">
        <v>1198</v>
      </c>
      <c r="O130" s="618" t="s">
        <v>1462</v>
      </c>
      <c r="P130" s="359"/>
      <c r="Q130" s="359"/>
      <c r="R130" s="359"/>
      <c r="S130" s="359"/>
      <c r="T130" s="359"/>
    </row>
    <row r="131" spans="13:20">
      <c r="M131" s="617" t="s">
        <v>1463</v>
      </c>
      <c r="N131" s="618" t="s">
        <v>1464</v>
      </c>
      <c r="O131" s="618" t="s">
        <v>1465</v>
      </c>
      <c r="P131" s="359"/>
      <c r="Q131" s="359"/>
      <c r="R131" s="359"/>
      <c r="S131" s="359"/>
      <c r="T131" s="359"/>
    </row>
    <row r="132" spans="13:20">
      <c r="M132" s="617" t="s">
        <v>1463</v>
      </c>
      <c r="N132" s="618" t="s">
        <v>1466</v>
      </c>
      <c r="O132" s="618" t="s">
        <v>1465</v>
      </c>
      <c r="P132" s="359"/>
      <c r="Q132" s="359"/>
      <c r="R132" s="359"/>
      <c r="S132" s="359"/>
      <c r="T132" s="359"/>
    </row>
    <row r="133" spans="13:20">
      <c r="M133" s="617" t="s">
        <v>1467</v>
      </c>
      <c r="N133" s="618" t="s">
        <v>1374</v>
      </c>
      <c r="O133" s="618" t="s">
        <v>1468</v>
      </c>
      <c r="P133" s="359"/>
      <c r="Q133" s="359"/>
      <c r="R133" s="359"/>
      <c r="S133" s="359"/>
      <c r="T133" s="359"/>
    </row>
    <row r="134" spans="13:20">
      <c r="M134" s="617" t="s">
        <v>1469</v>
      </c>
      <c r="N134" s="618" t="s">
        <v>1374</v>
      </c>
      <c r="O134" s="618" t="s">
        <v>1470</v>
      </c>
      <c r="P134" s="359"/>
      <c r="Q134" s="359"/>
      <c r="R134" s="359"/>
      <c r="S134" s="359"/>
      <c r="T134" s="359"/>
    </row>
    <row r="135" spans="13:20">
      <c r="M135" s="617" t="s">
        <v>1471</v>
      </c>
      <c r="N135" s="618" t="s">
        <v>1374</v>
      </c>
      <c r="O135" s="618" t="s">
        <v>1472</v>
      </c>
      <c r="P135" s="359"/>
      <c r="Q135" s="359"/>
      <c r="R135" s="359"/>
      <c r="S135" s="359"/>
      <c r="T135" s="359"/>
    </row>
    <row r="136" spans="13:20">
      <c r="M136" s="617" t="s">
        <v>1473</v>
      </c>
      <c r="N136" s="618" t="s">
        <v>1198</v>
      </c>
      <c r="O136" s="618" t="s">
        <v>1474</v>
      </c>
      <c r="P136" s="359"/>
      <c r="Q136" s="359"/>
      <c r="R136" s="359"/>
      <c r="S136" s="359"/>
      <c r="T136" s="359"/>
    </row>
    <row r="137" spans="13:20">
      <c r="M137" s="617" t="s">
        <v>1475</v>
      </c>
      <c r="N137" s="618" t="s">
        <v>1198</v>
      </c>
      <c r="O137" s="618" t="s">
        <v>1476</v>
      </c>
      <c r="P137" s="359"/>
      <c r="Q137" s="359"/>
      <c r="R137" s="359"/>
      <c r="S137" s="359"/>
      <c r="T137" s="359"/>
    </row>
    <row r="138" spans="13:20">
      <c r="M138" s="617" t="s">
        <v>1477</v>
      </c>
      <c r="N138" s="618" t="s">
        <v>1198</v>
      </c>
      <c r="O138" s="618" t="s">
        <v>1478</v>
      </c>
      <c r="P138" s="359"/>
      <c r="Q138" s="359"/>
      <c r="R138" s="359"/>
      <c r="S138" s="359"/>
      <c r="T138" s="359"/>
    </row>
    <row r="139" spans="13:20">
      <c r="M139" s="617" t="s">
        <v>1479</v>
      </c>
      <c r="N139" s="618" t="s">
        <v>1198</v>
      </c>
      <c r="O139" s="618" t="s">
        <v>1480</v>
      </c>
      <c r="P139" s="359"/>
      <c r="Q139" s="359"/>
      <c r="R139" s="359"/>
      <c r="S139" s="359"/>
      <c r="T139" s="359"/>
    </row>
    <row r="140" spans="13:20">
      <c r="M140" s="617" t="s">
        <v>1481</v>
      </c>
      <c r="N140" s="618" t="s">
        <v>1198</v>
      </c>
      <c r="O140" s="618" t="s">
        <v>1482</v>
      </c>
      <c r="P140" s="359"/>
      <c r="Q140" s="359"/>
      <c r="R140" s="359"/>
      <c r="S140" s="359"/>
      <c r="T140" s="359"/>
    </row>
    <row r="141" spans="13:20">
      <c r="M141" s="617" t="s">
        <v>1483</v>
      </c>
      <c r="N141" s="618" t="s">
        <v>1198</v>
      </c>
      <c r="O141" s="618" t="s">
        <v>1484</v>
      </c>
      <c r="P141" s="359"/>
      <c r="Q141" s="359"/>
      <c r="R141" s="359"/>
      <c r="S141" s="359"/>
      <c r="T141" s="359"/>
    </row>
    <row r="142" spans="13:20">
      <c r="M142" s="617" t="s">
        <v>1485</v>
      </c>
      <c r="N142" s="618" t="s">
        <v>1198</v>
      </c>
      <c r="O142" s="618" t="s">
        <v>1486</v>
      </c>
      <c r="P142" s="359"/>
      <c r="Q142" s="359"/>
      <c r="R142" s="359"/>
      <c r="S142" s="359"/>
      <c r="T142" s="359"/>
    </row>
    <row r="143" spans="13:20">
      <c r="M143" s="617" t="s">
        <v>1487</v>
      </c>
      <c r="N143" s="618" t="s">
        <v>1198</v>
      </c>
      <c r="O143" s="618" t="s">
        <v>1488</v>
      </c>
      <c r="P143" s="359"/>
      <c r="Q143" s="359"/>
      <c r="R143" s="359"/>
      <c r="S143" s="359"/>
      <c r="T143" s="359"/>
    </row>
    <row r="144" spans="13:20">
      <c r="M144" s="617" t="s">
        <v>1489</v>
      </c>
      <c r="N144" s="618" t="s">
        <v>1198</v>
      </c>
      <c r="O144" s="618" t="s">
        <v>1490</v>
      </c>
      <c r="P144" s="359"/>
      <c r="Q144" s="359"/>
      <c r="R144" s="359"/>
      <c r="S144" s="359"/>
      <c r="T144" s="359"/>
    </row>
    <row r="145" spans="13:20">
      <c r="M145" s="617" t="s">
        <v>1491</v>
      </c>
      <c r="N145" s="618" t="s">
        <v>1198</v>
      </c>
      <c r="O145" s="618" t="s">
        <v>1492</v>
      </c>
      <c r="P145" s="359"/>
      <c r="Q145" s="359"/>
      <c r="R145" s="359"/>
      <c r="S145" s="359"/>
      <c r="T145" s="359"/>
    </row>
    <row r="146" spans="13:20">
      <c r="M146" s="617" t="s">
        <v>1493</v>
      </c>
      <c r="N146" s="618" t="s">
        <v>1494</v>
      </c>
      <c r="O146" s="618" t="s">
        <v>1495</v>
      </c>
      <c r="P146" s="359"/>
      <c r="Q146" s="359"/>
      <c r="R146" s="359"/>
      <c r="S146" s="359"/>
      <c r="T146" s="359"/>
    </row>
    <row r="147" spans="13:20">
      <c r="M147" s="617" t="s">
        <v>1493</v>
      </c>
      <c r="N147" s="618" t="s">
        <v>1496</v>
      </c>
      <c r="O147" s="618" t="s">
        <v>1497</v>
      </c>
      <c r="P147" s="359"/>
      <c r="Q147" s="359"/>
      <c r="R147" s="359"/>
      <c r="S147" s="359"/>
      <c r="T147" s="359"/>
    </row>
    <row r="148" spans="13:20">
      <c r="M148" s="617" t="s">
        <v>1498</v>
      </c>
      <c r="N148" s="618" t="s">
        <v>1198</v>
      </c>
      <c r="O148" s="618" t="s">
        <v>1499</v>
      </c>
      <c r="P148" s="359"/>
      <c r="Q148" s="359"/>
      <c r="R148" s="359"/>
      <c r="S148" s="359"/>
      <c r="T148" s="359"/>
    </row>
    <row r="149" spans="13:20">
      <c r="M149" s="617" t="s">
        <v>1500</v>
      </c>
      <c r="N149" s="618" t="s">
        <v>1198</v>
      </c>
      <c r="O149" s="618" t="s">
        <v>1501</v>
      </c>
      <c r="P149" s="359"/>
      <c r="Q149" s="359"/>
      <c r="R149" s="359"/>
      <c r="S149" s="359"/>
      <c r="T149" s="359"/>
    </row>
    <row r="150" spans="13:20">
      <c r="M150" s="617" t="s">
        <v>1502</v>
      </c>
      <c r="N150" s="618" t="s">
        <v>1198</v>
      </c>
      <c r="O150" s="618" t="s">
        <v>1503</v>
      </c>
      <c r="P150" s="359"/>
      <c r="Q150" s="359"/>
      <c r="R150" s="359"/>
      <c r="S150" s="359"/>
      <c r="T150" s="359"/>
    </row>
    <row r="151" spans="13:20">
      <c r="M151" s="617" t="s">
        <v>1504</v>
      </c>
      <c r="N151" s="618" t="s">
        <v>1198</v>
      </c>
      <c r="O151" s="618" t="s">
        <v>1505</v>
      </c>
      <c r="P151" s="359"/>
      <c r="Q151" s="359"/>
      <c r="R151" s="359"/>
      <c r="S151" s="359"/>
      <c r="T151" s="359"/>
    </row>
    <row r="152" spans="13:20">
      <c r="M152" s="617" t="s">
        <v>1506</v>
      </c>
      <c r="N152" s="618" t="s">
        <v>1374</v>
      </c>
      <c r="O152" s="618" t="s">
        <v>1507</v>
      </c>
      <c r="P152" s="359"/>
      <c r="Q152" s="359"/>
      <c r="R152" s="359"/>
      <c r="S152" s="359"/>
      <c r="T152" s="359"/>
    </row>
    <row r="153" spans="13:20">
      <c r="M153" s="617" t="s">
        <v>1508</v>
      </c>
      <c r="N153" s="618" t="s">
        <v>1198</v>
      </c>
      <c r="O153" s="618" t="s">
        <v>179</v>
      </c>
      <c r="P153" s="359"/>
      <c r="Q153" s="359"/>
      <c r="R153" s="359"/>
      <c r="S153" s="359"/>
      <c r="T153" s="359"/>
    </row>
    <row r="154" spans="13:20">
      <c r="M154" s="617" t="s">
        <v>1509</v>
      </c>
      <c r="N154" s="618" t="s">
        <v>1198</v>
      </c>
      <c r="O154" s="618" t="s">
        <v>1510</v>
      </c>
      <c r="P154" s="359"/>
      <c r="Q154" s="359"/>
      <c r="R154" s="359"/>
      <c r="S154" s="359"/>
      <c r="T154" s="359"/>
    </row>
    <row r="155" spans="13:20">
      <c r="M155" s="617" t="s">
        <v>1511</v>
      </c>
      <c r="N155" s="618" t="s">
        <v>1198</v>
      </c>
      <c r="O155" s="618" t="s">
        <v>1512</v>
      </c>
      <c r="P155" s="359"/>
      <c r="Q155" s="359"/>
      <c r="R155" s="359"/>
      <c r="S155" s="359"/>
      <c r="T155" s="359"/>
    </row>
    <row r="156" spans="13:20">
      <c r="M156" s="617" t="s">
        <v>1513</v>
      </c>
      <c r="N156" s="618" t="s">
        <v>1198</v>
      </c>
      <c r="O156" s="618" t="s">
        <v>1514</v>
      </c>
      <c r="P156" s="359"/>
      <c r="Q156" s="359"/>
      <c r="R156" s="359"/>
      <c r="S156" s="359"/>
      <c r="T156" s="359"/>
    </row>
    <row r="157" spans="13:20">
      <c r="M157" s="617" t="s">
        <v>1515</v>
      </c>
      <c r="N157" s="618" t="s">
        <v>1516</v>
      </c>
      <c r="O157" s="618" t="s">
        <v>1517</v>
      </c>
      <c r="P157" s="359"/>
      <c r="Q157" s="359"/>
      <c r="R157" s="359"/>
      <c r="S157" s="359"/>
      <c r="T157" s="359"/>
    </row>
    <row r="158" spans="13:20">
      <c r="M158" s="617" t="s">
        <v>1518</v>
      </c>
      <c r="N158" s="618" t="s">
        <v>1198</v>
      </c>
      <c r="O158" s="618" t="s">
        <v>1519</v>
      </c>
      <c r="P158" s="359"/>
      <c r="Q158" s="359"/>
      <c r="R158" s="359"/>
      <c r="S158" s="359"/>
      <c r="T158" s="359"/>
    </row>
    <row r="159" spans="13:20">
      <c r="M159" s="617" t="s">
        <v>1520</v>
      </c>
      <c r="N159" s="618" t="s">
        <v>1198</v>
      </c>
      <c r="O159" s="618" t="s">
        <v>1521</v>
      </c>
      <c r="P159" s="359"/>
      <c r="Q159" s="359"/>
      <c r="R159" s="359"/>
      <c r="S159" s="359"/>
      <c r="T159" s="359"/>
    </row>
    <row r="160" spans="13:20">
      <c r="M160" s="617" t="s">
        <v>1522</v>
      </c>
      <c r="N160" s="618" t="s">
        <v>1523</v>
      </c>
      <c r="O160" s="618" t="s">
        <v>1524</v>
      </c>
      <c r="P160" s="359"/>
      <c r="Q160" s="359"/>
      <c r="R160" s="359"/>
      <c r="S160" s="359"/>
      <c r="T160" s="359"/>
    </row>
    <row r="161" spans="13:20">
      <c r="M161" s="617" t="s">
        <v>1525</v>
      </c>
      <c r="N161" s="618" t="s">
        <v>1526</v>
      </c>
      <c r="O161" s="618" t="s">
        <v>1527</v>
      </c>
      <c r="P161" s="359"/>
      <c r="Q161" s="359"/>
      <c r="R161" s="359"/>
      <c r="S161" s="359"/>
      <c r="T161" s="359"/>
    </row>
    <row r="162" spans="13:20">
      <c r="M162" s="617" t="s">
        <v>1528</v>
      </c>
      <c r="N162" s="618" t="s">
        <v>1526</v>
      </c>
      <c r="O162" s="618" t="s">
        <v>1529</v>
      </c>
      <c r="P162" s="359"/>
      <c r="Q162" s="359"/>
      <c r="R162" s="359"/>
      <c r="S162" s="359"/>
      <c r="T162" s="359"/>
    </row>
    <row r="163" spans="13:20">
      <c r="M163" s="617" t="s">
        <v>1530</v>
      </c>
      <c r="N163" s="618" t="s">
        <v>1526</v>
      </c>
      <c r="O163" s="618" t="s">
        <v>1531</v>
      </c>
      <c r="P163" s="359"/>
      <c r="Q163" s="359"/>
      <c r="R163" s="359"/>
      <c r="S163" s="359"/>
      <c r="T163" s="359"/>
    </row>
    <row r="164" spans="13:20">
      <c r="M164" s="617" t="s">
        <v>1532</v>
      </c>
      <c r="N164" s="618" t="s">
        <v>1526</v>
      </c>
      <c r="O164" s="618" t="s">
        <v>1533</v>
      </c>
      <c r="P164" s="359"/>
      <c r="Q164" s="359"/>
      <c r="R164" s="359"/>
      <c r="S164" s="359"/>
      <c r="T164" s="359"/>
    </row>
    <row r="165" spans="13:20">
      <c r="M165" s="617" t="s">
        <v>1534</v>
      </c>
      <c r="N165" s="618" t="s">
        <v>1526</v>
      </c>
      <c r="O165" s="618" t="s">
        <v>1535</v>
      </c>
      <c r="P165" s="359"/>
      <c r="Q165" s="359"/>
      <c r="R165" s="359"/>
      <c r="S165" s="359"/>
      <c r="T165" s="359"/>
    </row>
    <row r="166" spans="13:20">
      <c r="M166" s="617" t="s">
        <v>1536</v>
      </c>
      <c r="N166" s="618" t="s">
        <v>1526</v>
      </c>
      <c r="O166" s="618" t="s">
        <v>1537</v>
      </c>
      <c r="P166" s="359"/>
      <c r="Q166" s="359"/>
      <c r="R166" s="359"/>
      <c r="S166" s="359"/>
      <c r="T166" s="359"/>
    </row>
    <row r="167" spans="13:20">
      <c r="M167" s="617" t="s">
        <v>1538</v>
      </c>
      <c r="N167" s="618" t="s">
        <v>1526</v>
      </c>
      <c r="O167" s="618" t="s">
        <v>1539</v>
      </c>
      <c r="P167" s="359"/>
      <c r="Q167" s="359"/>
      <c r="R167" s="359"/>
      <c r="S167" s="359"/>
      <c r="T167" s="359"/>
    </row>
    <row r="168" spans="13:20">
      <c r="M168" s="617" t="s">
        <v>1540</v>
      </c>
      <c r="N168" s="618" t="s">
        <v>1526</v>
      </c>
      <c r="O168" s="618" t="s">
        <v>1541</v>
      </c>
      <c r="P168" s="359"/>
      <c r="Q168" s="359"/>
      <c r="R168" s="359"/>
      <c r="S168" s="359"/>
      <c r="T168" s="359"/>
    </row>
    <row r="169" spans="13:20">
      <c r="M169" s="617" t="s">
        <v>1542</v>
      </c>
      <c r="N169" s="618" t="s">
        <v>1526</v>
      </c>
      <c r="O169" s="618" t="s">
        <v>1543</v>
      </c>
      <c r="P169" s="359"/>
      <c r="Q169" s="359"/>
      <c r="R169" s="359"/>
      <c r="S169" s="359"/>
      <c r="T169" s="359"/>
    </row>
    <row r="170" spans="13:20">
      <c r="M170" s="617" t="s">
        <v>1544</v>
      </c>
      <c r="N170" s="618" t="s">
        <v>1247</v>
      </c>
      <c r="O170" s="618" t="s">
        <v>1545</v>
      </c>
      <c r="P170" s="359"/>
      <c r="Q170" s="359"/>
      <c r="R170" s="359"/>
      <c r="S170" s="359"/>
      <c r="T170" s="359"/>
    </row>
    <row r="171" spans="13:20">
      <c r="M171" s="617" t="s">
        <v>1546</v>
      </c>
      <c r="N171" s="618" t="s">
        <v>1547</v>
      </c>
      <c r="O171" s="618" t="s">
        <v>1548</v>
      </c>
      <c r="P171" s="359"/>
      <c r="Q171" s="359"/>
      <c r="R171" s="359"/>
      <c r="S171" s="359"/>
      <c r="T171" s="359"/>
    </row>
    <row r="172" spans="13:20">
      <c r="M172" s="617" t="s">
        <v>1549</v>
      </c>
      <c r="N172" s="618" t="s">
        <v>1374</v>
      </c>
      <c r="O172" s="618" t="s">
        <v>1550</v>
      </c>
      <c r="P172" s="359"/>
      <c r="Q172" s="359"/>
      <c r="R172" s="359"/>
      <c r="S172" s="359"/>
      <c r="T172" s="359"/>
    </row>
    <row r="173" spans="13:20">
      <c r="M173" s="617" t="s">
        <v>1551</v>
      </c>
      <c r="N173" s="618" t="s">
        <v>1552</v>
      </c>
      <c r="O173" s="618" t="s">
        <v>1553</v>
      </c>
      <c r="P173" s="359"/>
      <c r="Q173" s="359"/>
      <c r="R173" s="359"/>
      <c r="S173" s="359"/>
      <c r="T173" s="359"/>
    </row>
    <row r="174" spans="13:20">
      <c r="M174" s="617" t="s">
        <v>1554</v>
      </c>
      <c r="N174" s="618" t="s">
        <v>1552</v>
      </c>
      <c r="O174" s="618" t="s">
        <v>1555</v>
      </c>
      <c r="P174" s="359"/>
      <c r="Q174" s="359"/>
      <c r="R174" s="359"/>
      <c r="S174" s="359"/>
      <c r="T174" s="359"/>
    </row>
    <row r="175" spans="13:20">
      <c r="M175" s="617" t="s">
        <v>1556</v>
      </c>
      <c r="N175" s="618" t="s">
        <v>1552</v>
      </c>
      <c r="O175" s="618" t="s">
        <v>1557</v>
      </c>
      <c r="P175" s="359"/>
      <c r="Q175" s="359"/>
      <c r="R175" s="359"/>
      <c r="S175" s="359"/>
      <c r="T175" s="359"/>
    </row>
    <row r="176" spans="13:20">
      <c r="M176" s="617" t="s">
        <v>1558</v>
      </c>
      <c r="N176" s="618" t="s">
        <v>1552</v>
      </c>
      <c r="O176" s="618" t="s">
        <v>1559</v>
      </c>
      <c r="P176" s="359"/>
      <c r="Q176" s="359"/>
      <c r="R176" s="359"/>
      <c r="S176" s="359"/>
      <c r="T176" s="359"/>
    </row>
    <row r="177" spans="13:20">
      <c r="M177" s="617" t="s">
        <v>1560</v>
      </c>
      <c r="N177" s="618" t="s">
        <v>1552</v>
      </c>
      <c r="O177" s="618" t="s">
        <v>1561</v>
      </c>
      <c r="P177" s="359"/>
      <c r="Q177" s="359"/>
      <c r="R177" s="359"/>
      <c r="S177" s="359"/>
      <c r="T177" s="359"/>
    </row>
    <row r="178" spans="13:20">
      <c r="M178" s="617" t="s">
        <v>1562</v>
      </c>
      <c r="N178" s="618" t="s">
        <v>1552</v>
      </c>
      <c r="O178" s="618" t="s">
        <v>1563</v>
      </c>
      <c r="P178" s="359"/>
      <c r="Q178" s="359"/>
      <c r="R178" s="359"/>
      <c r="S178" s="359"/>
      <c r="T178" s="359"/>
    </row>
    <row r="179" spans="13:20">
      <c r="M179" s="617" t="s">
        <v>1564</v>
      </c>
      <c r="N179" s="618" t="s">
        <v>1552</v>
      </c>
      <c r="O179" s="618" t="s">
        <v>1565</v>
      </c>
      <c r="P179" s="359"/>
      <c r="Q179" s="359"/>
      <c r="R179" s="359"/>
      <c r="S179" s="359"/>
      <c r="T179" s="359"/>
    </row>
    <row r="180" spans="13:20">
      <c r="M180" s="617" t="s">
        <v>1566</v>
      </c>
      <c r="N180" s="618" t="s">
        <v>1552</v>
      </c>
      <c r="O180" s="618" t="s">
        <v>1567</v>
      </c>
      <c r="P180" s="359"/>
      <c r="Q180" s="359"/>
      <c r="R180" s="359"/>
      <c r="S180" s="359"/>
      <c r="T180" s="359"/>
    </row>
    <row r="181" spans="13:20">
      <c r="M181" s="617" t="s">
        <v>1568</v>
      </c>
      <c r="N181" s="618" t="s">
        <v>1552</v>
      </c>
      <c r="O181" s="618" t="s">
        <v>1569</v>
      </c>
      <c r="P181" s="359"/>
      <c r="Q181" s="359"/>
      <c r="R181" s="359"/>
      <c r="S181" s="359"/>
      <c r="T181" s="359"/>
    </row>
    <row r="182" spans="13:20">
      <c r="M182" s="617" t="s">
        <v>1570</v>
      </c>
      <c r="N182" s="618" t="s">
        <v>1374</v>
      </c>
      <c r="O182" s="618" t="s">
        <v>1571</v>
      </c>
      <c r="P182" s="359"/>
      <c r="Q182" s="359"/>
      <c r="R182" s="359"/>
      <c r="S182" s="359"/>
      <c r="T182" s="359"/>
    </row>
    <row r="183" spans="13:20">
      <c r="M183" s="617" t="s">
        <v>1572</v>
      </c>
      <c r="N183" s="618" t="s">
        <v>1573</v>
      </c>
      <c r="O183" s="618" t="s">
        <v>1574</v>
      </c>
      <c r="P183" s="359"/>
      <c r="Q183" s="359"/>
      <c r="R183" s="359"/>
      <c r="S183" s="359"/>
      <c r="T183" s="359"/>
    </row>
    <row r="184" spans="13:20">
      <c r="M184" s="617" t="s">
        <v>1575</v>
      </c>
      <c r="N184" s="618" t="s">
        <v>1576</v>
      </c>
      <c r="O184" s="618" t="s">
        <v>1577</v>
      </c>
      <c r="P184" s="359"/>
      <c r="Q184" s="359"/>
      <c r="R184" s="359"/>
      <c r="S184" s="359"/>
      <c r="T184" s="359"/>
    </row>
    <row r="185" spans="13:20">
      <c r="M185" s="617" t="s">
        <v>1578</v>
      </c>
      <c r="N185" s="618" t="s">
        <v>1579</v>
      </c>
      <c r="O185" s="618" t="s">
        <v>1580</v>
      </c>
      <c r="P185" s="359"/>
      <c r="Q185" s="359"/>
      <c r="R185" s="359"/>
      <c r="S185" s="359"/>
      <c r="T185" s="359"/>
    </row>
    <row r="186" spans="13:20">
      <c r="M186" s="619"/>
      <c r="P186" s="359"/>
      <c r="Q186" s="359"/>
      <c r="R186" s="359"/>
      <c r="S186" s="359"/>
      <c r="T186" s="359"/>
    </row>
    <row r="187" spans="13:20">
      <c r="P187" s="359"/>
      <c r="Q187" s="359"/>
      <c r="R187" s="359"/>
      <c r="S187" s="359"/>
      <c r="T187" s="359"/>
    </row>
    <row r="188" spans="13:20">
      <c r="P188" s="359"/>
      <c r="Q188" s="359"/>
      <c r="R188" s="359"/>
      <c r="S188" s="359"/>
      <c r="T188" s="359"/>
    </row>
    <row r="189" spans="13:20">
      <c r="P189" s="359"/>
      <c r="Q189" s="359"/>
      <c r="R189" s="359"/>
      <c r="S189" s="359"/>
      <c r="T189" s="359"/>
    </row>
    <row r="190" spans="13:20">
      <c r="P190" s="359"/>
      <c r="Q190" s="359"/>
      <c r="R190" s="359"/>
      <c r="S190" s="359"/>
      <c r="T190" s="359"/>
    </row>
    <row r="191" spans="13:20">
      <c r="P191" s="359"/>
      <c r="Q191" s="359"/>
      <c r="R191" s="359"/>
      <c r="S191" s="359"/>
      <c r="T191" s="359"/>
    </row>
    <row r="192" spans="13:20">
      <c r="P192" s="359"/>
      <c r="Q192" s="359"/>
      <c r="R192" s="359"/>
      <c r="S192" s="359"/>
      <c r="T192" s="359"/>
    </row>
    <row r="193" spans="13:20">
      <c r="M193"/>
      <c r="N193"/>
      <c r="O193"/>
      <c r="P193" s="359"/>
      <c r="Q193" s="359"/>
      <c r="R193" s="359"/>
      <c r="S193" s="359"/>
      <c r="T193" s="359"/>
    </row>
    <row r="194" spans="13:20">
      <c r="M194"/>
      <c r="N194"/>
      <c r="O194"/>
      <c r="P194" s="359"/>
      <c r="Q194" s="359"/>
      <c r="R194" s="359"/>
      <c r="S194" s="359"/>
      <c r="T194" s="359"/>
    </row>
    <row r="195" spans="13:20">
      <c r="M195"/>
      <c r="N195"/>
      <c r="O195"/>
      <c r="P195" s="359"/>
      <c r="Q195" s="359"/>
      <c r="R195" s="359"/>
      <c r="S195" s="359"/>
      <c r="T195" s="359"/>
    </row>
    <row r="196" spans="13:20">
      <c r="M196"/>
      <c r="N196"/>
      <c r="O196"/>
      <c r="P196" s="359"/>
      <c r="Q196" s="359"/>
      <c r="R196" s="359"/>
      <c r="S196" s="359"/>
      <c r="T196" s="359"/>
    </row>
    <row r="197" spans="13:20">
      <c r="M197"/>
      <c r="N197"/>
      <c r="O197"/>
      <c r="P197" s="359"/>
      <c r="Q197" s="359"/>
      <c r="R197" s="359"/>
      <c r="S197" s="359"/>
      <c r="T197" s="359"/>
    </row>
    <row r="198" spans="13:20">
      <c r="M198"/>
      <c r="N198"/>
      <c r="O198"/>
      <c r="P198" s="359"/>
      <c r="Q198" s="359"/>
      <c r="R198" s="359"/>
      <c r="S198" s="359"/>
      <c r="T198" s="359"/>
    </row>
    <row r="199" spans="13:20">
      <c r="M199"/>
      <c r="N199"/>
      <c r="O199"/>
      <c r="P199" s="359"/>
      <c r="Q199" s="359"/>
      <c r="R199" s="359"/>
      <c r="S199" s="359"/>
      <c r="T199" s="359"/>
    </row>
    <row r="200" spans="13:20">
      <c r="M200"/>
      <c r="N200"/>
      <c r="O200"/>
      <c r="P200" s="359"/>
      <c r="Q200" s="359"/>
      <c r="R200" s="359"/>
      <c r="S200" s="359"/>
      <c r="T200" s="359"/>
    </row>
    <row r="201" spans="13:20">
      <c r="M201"/>
      <c r="N201"/>
      <c r="O201"/>
      <c r="P201" s="359"/>
      <c r="Q201" s="359"/>
      <c r="R201" s="359"/>
      <c r="S201" s="359"/>
      <c r="T201" s="359"/>
    </row>
    <row r="202" spans="13:20">
      <c r="M202"/>
      <c r="N202"/>
      <c r="O202"/>
      <c r="P202" s="359"/>
      <c r="Q202" s="359"/>
      <c r="R202" s="359"/>
      <c r="S202" s="359"/>
      <c r="T202" s="359"/>
    </row>
    <row r="203" spans="13:20">
      <c r="M203"/>
      <c r="N203"/>
      <c r="O203"/>
      <c r="P203" s="359"/>
      <c r="Q203" s="359"/>
      <c r="R203" s="359"/>
      <c r="S203" s="359"/>
      <c r="T203" s="359"/>
    </row>
    <row r="204" spans="13:20">
      <c r="M204"/>
      <c r="N204"/>
      <c r="O204"/>
      <c r="P204" s="359"/>
      <c r="Q204" s="359"/>
      <c r="R204" s="359"/>
      <c r="S204" s="359"/>
      <c r="T204" s="359"/>
    </row>
    <row r="205" spans="13:20">
      <c r="M205"/>
      <c r="N205"/>
      <c r="O205"/>
      <c r="P205" s="359"/>
      <c r="Q205" s="359"/>
      <c r="R205" s="359"/>
      <c r="S205" s="359"/>
      <c r="T205" s="359"/>
    </row>
    <row r="206" spans="13:20">
      <c r="M206"/>
      <c r="N206"/>
      <c r="O206"/>
      <c r="P206" s="359"/>
      <c r="Q206" s="359"/>
      <c r="R206" s="359"/>
      <c r="S206" s="359"/>
      <c r="T206" s="359"/>
    </row>
    <row r="207" spans="13:20">
      <c r="M207"/>
      <c r="N207"/>
      <c r="O207"/>
      <c r="P207" s="359"/>
      <c r="Q207" s="359"/>
      <c r="R207" s="359"/>
      <c r="S207" s="359"/>
      <c r="T207" s="359"/>
    </row>
    <row r="208" spans="13:20">
      <c r="M208"/>
      <c r="N208"/>
      <c r="O208"/>
      <c r="P208" s="359"/>
      <c r="Q208" s="359"/>
      <c r="R208" s="359"/>
      <c r="S208" s="359"/>
      <c r="T208" s="359"/>
    </row>
    <row r="209" spans="13:20">
      <c r="M209"/>
      <c r="N209"/>
      <c r="O209"/>
      <c r="P209" s="359"/>
      <c r="Q209" s="359"/>
      <c r="R209" s="359"/>
      <c r="S209" s="359"/>
      <c r="T209" s="359"/>
    </row>
    <row r="210" spans="13:20">
      <c r="M210"/>
      <c r="N210"/>
      <c r="O210"/>
      <c r="P210" s="359"/>
      <c r="Q210" s="359"/>
      <c r="R210" s="359"/>
      <c r="S210" s="359"/>
      <c r="T210" s="359"/>
    </row>
    <row r="211" spans="13:20">
      <c r="M211"/>
      <c r="N211"/>
      <c r="O211"/>
      <c r="P211" s="359"/>
      <c r="Q211" s="359"/>
      <c r="R211" s="359"/>
      <c r="S211" s="359"/>
      <c r="T211" s="359"/>
    </row>
    <row r="212" spans="13:20">
      <c r="M212"/>
      <c r="N212"/>
      <c r="O212"/>
      <c r="P212" s="359"/>
      <c r="Q212" s="359"/>
      <c r="R212" s="359"/>
      <c r="S212" s="359"/>
      <c r="T212" s="359"/>
    </row>
    <row r="213" spans="13:20">
      <c r="M213"/>
      <c r="N213"/>
      <c r="O213"/>
      <c r="P213" s="359"/>
      <c r="Q213" s="359"/>
      <c r="R213" s="359"/>
      <c r="S213" s="359"/>
      <c r="T213" s="359"/>
    </row>
    <row r="214" spans="13:20">
      <c r="M214"/>
      <c r="N214"/>
      <c r="O214"/>
      <c r="P214" s="359"/>
      <c r="Q214" s="359"/>
      <c r="R214" s="359"/>
      <c r="S214" s="359"/>
      <c r="T214" s="359"/>
    </row>
    <row r="215" spans="13:20">
      <c r="M215"/>
      <c r="N215"/>
      <c r="O215"/>
      <c r="P215" s="359"/>
      <c r="Q215" s="359"/>
      <c r="R215" s="359"/>
      <c r="S215" s="359"/>
      <c r="T215" s="359"/>
    </row>
    <row r="216" spans="13:20">
      <c r="M216"/>
      <c r="N216"/>
      <c r="O216"/>
      <c r="P216" s="359"/>
      <c r="Q216" s="359"/>
      <c r="R216" s="359"/>
      <c r="S216" s="359"/>
      <c r="T216" s="359"/>
    </row>
    <row r="217" spans="13:20">
      <c r="M217"/>
      <c r="N217"/>
      <c r="O217"/>
      <c r="P217" s="359"/>
      <c r="Q217" s="359"/>
      <c r="R217" s="359"/>
      <c r="S217" s="359"/>
      <c r="T217" s="359"/>
    </row>
    <row r="218" spans="13:20">
      <c r="M218"/>
      <c r="N218"/>
      <c r="O218"/>
      <c r="P218" s="359"/>
      <c r="Q218" s="359"/>
      <c r="R218" s="359"/>
      <c r="S218" s="359"/>
      <c r="T218" s="359"/>
    </row>
    <row r="219" spans="13:20">
      <c r="M219"/>
      <c r="N219"/>
      <c r="O219"/>
      <c r="P219" s="359"/>
      <c r="Q219" s="359"/>
      <c r="R219" s="359"/>
      <c r="S219" s="359"/>
      <c r="T219" s="359"/>
    </row>
    <row r="220" spans="13:20">
      <c r="M220"/>
      <c r="N220"/>
      <c r="O220"/>
      <c r="P220" s="359"/>
      <c r="Q220" s="359"/>
      <c r="R220" s="359"/>
      <c r="S220" s="359"/>
      <c r="T220" s="359"/>
    </row>
    <row r="221" spans="13:20">
      <c r="M221"/>
      <c r="N221"/>
      <c r="O221"/>
      <c r="P221" s="359"/>
      <c r="Q221" s="359"/>
      <c r="R221" s="359"/>
      <c r="S221" s="359"/>
      <c r="T221" s="359"/>
    </row>
    <row r="222" spans="13:20">
      <c r="M222"/>
      <c r="N222"/>
      <c r="O222"/>
      <c r="P222" s="359"/>
      <c r="Q222" s="359"/>
      <c r="R222" s="359"/>
      <c r="S222" s="359"/>
      <c r="T222" s="359"/>
    </row>
    <row r="223" spans="13:20">
      <c r="M223"/>
      <c r="N223"/>
      <c r="O223"/>
      <c r="P223" s="359"/>
      <c r="Q223" s="359"/>
      <c r="R223" s="359"/>
      <c r="S223" s="359"/>
      <c r="T223" s="359"/>
    </row>
    <row r="224" spans="13:20">
      <c r="M224"/>
      <c r="N224"/>
      <c r="O224"/>
      <c r="P224" s="359"/>
      <c r="Q224" s="359"/>
      <c r="R224" s="359"/>
      <c r="S224" s="359"/>
      <c r="T224" s="359"/>
    </row>
    <row r="225" spans="13:20">
      <c r="M225"/>
      <c r="N225"/>
      <c r="O225"/>
      <c r="P225" s="359"/>
      <c r="Q225" s="359"/>
      <c r="R225" s="359"/>
      <c r="S225" s="359"/>
      <c r="T225" s="359"/>
    </row>
    <row r="226" spans="13:20">
      <c r="M226"/>
      <c r="N226"/>
      <c r="O226"/>
      <c r="P226" s="359"/>
      <c r="Q226" s="359"/>
      <c r="R226" s="359"/>
      <c r="S226" s="359"/>
      <c r="T226" s="359"/>
    </row>
    <row r="227" spans="13:20">
      <c r="M227"/>
      <c r="N227"/>
      <c r="O227"/>
      <c r="P227" s="359"/>
      <c r="Q227" s="359"/>
      <c r="R227" s="359"/>
      <c r="S227" s="359"/>
      <c r="T227" s="359"/>
    </row>
    <row r="228" spans="13:20">
      <c r="M228"/>
      <c r="N228"/>
      <c r="O228"/>
      <c r="P228" s="359"/>
      <c r="Q228" s="359"/>
      <c r="R228" s="359"/>
      <c r="S228" s="359"/>
      <c r="T228" s="359"/>
    </row>
    <row r="229" spans="13:20">
      <c r="M229"/>
      <c r="N229"/>
      <c r="O229"/>
      <c r="P229" s="359"/>
      <c r="Q229" s="359"/>
      <c r="R229" s="359"/>
      <c r="S229" s="359"/>
      <c r="T229" s="359"/>
    </row>
    <row r="230" spans="13:20">
      <c r="M230"/>
      <c r="N230"/>
      <c r="O230"/>
      <c r="P230" s="359"/>
      <c r="Q230" s="359"/>
      <c r="R230" s="359"/>
      <c r="S230" s="359"/>
      <c r="T230" s="359"/>
    </row>
    <row r="231" spans="13:20">
      <c r="M231"/>
      <c r="N231"/>
      <c r="O231"/>
      <c r="P231" s="359"/>
      <c r="Q231" s="359"/>
      <c r="R231" s="359"/>
      <c r="S231" s="359"/>
      <c r="T231" s="359"/>
    </row>
    <row r="232" spans="13:20">
      <c r="M232"/>
      <c r="N232"/>
      <c r="O232"/>
      <c r="P232" s="359"/>
      <c r="Q232" s="359"/>
      <c r="R232" s="359"/>
      <c r="S232" s="359"/>
      <c r="T232" s="359"/>
    </row>
    <row r="233" spans="13:20">
      <c r="M233"/>
      <c r="N233"/>
      <c r="O233"/>
      <c r="P233" s="359"/>
      <c r="Q233" s="359"/>
      <c r="R233" s="359"/>
      <c r="S233" s="359"/>
      <c r="T233" s="359"/>
    </row>
    <row r="234" spans="13:20">
      <c r="M234"/>
      <c r="N234"/>
      <c r="O234"/>
      <c r="P234" s="359"/>
      <c r="Q234" s="359"/>
      <c r="R234" s="359"/>
      <c r="S234" s="359"/>
      <c r="T234" s="359"/>
    </row>
    <row r="235" spans="13:20">
      <c r="M235"/>
      <c r="N235"/>
      <c r="O235"/>
      <c r="P235" s="359"/>
      <c r="Q235" s="359"/>
      <c r="R235" s="359"/>
      <c r="S235" s="359"/>
      <c r="T235" s="359"/>
    </row>
    <row r="236" spans="13:20">
      <c r="M236"/>
      <c r="N236"/>
      <c r="O236"/>
      <c r="P236" s="359"/>
      <c r="Q236" s="359"/>
      <c r="R236" s="359"/>
      <c r="S236" s="359"/>
      <c r="T236" s="359"/>
    </row>
    <row r="237" spans="13:20">
      <c r="M237"/>
      <c r="N237"/>
      <c r="O237"/>
      <c r="P237" s="359"/>
      <c r="Q237" s="359"/>
      <c r="R237" s="359"/>
      <c r="S237" s="359"/>
      <c r="T237" s="359"/>
    </row>
    <row r="238" spans="13:20">
      <c r="M238"/>
      <c r="N238"/>
      <c r="O238"/>
      <c r="P238" s="359"/>
      <c r="Q238" s="359"/>
      <c r="R238" s="359"/>
      <c r="S238" s="359"/>
      <c r="T238" s="359"/>
    </row>
    <row r="239" spans="13:20">
      <c r="M239"/>
      <c r="N239"/>
      <c r="O239"/>
      <c r="P239" s="359"/>
      <c r="Q239" s="359"/>
      <c r="R239" s="359"/>
      <c r="S239" s="359"/>
      <c r="T239" s="359"/>
    </row>
    <row r="240" spans="13:20">
      <c r="M240"/>
      <c r="N240"/>
      <c r="O240"/>
      <c r="P240" s="359"/>
      <c r="Q240" s="359"/>
      <c r="R240" s="359"/>
      <c r="S240" s="359"/>
      <c r="T240" s="359"/>
    </row>
    <row r="241" spans="13:20">
      <c r="M241"/>
      <c r="N241"/>
      <c r="O241"/>
      <c r="P241" s="359"/>
      <c r="Q241" s="359"/>
      <c r="R241" s="359"/>
      <c r="S241" s="359"/>
      <c r="T241" s="359"/>
    </row>
    <row r="242" spans="13:20">
      <c r="M242"/>
      <c r="N242"/>
      <c r="O242"/>
      <c r="P242" s="359"/>
      <c r="Q242" s="359"/>
      <c r="R242" s="359"/>
      <c r="S242" s="359"/>
      <c r="T242" s="359"/>
    </row>
    <row r="243" spans="13:20">
      <c r="M243"/>
      <c r="N243"/>
      <c r="O243"/>
      <c r="P243" s="359"/>
      <c r="Q243" s="359"/>
      <c r="R243" s="359"/>
      <c r="S243" s="359"/>
      <c r="T243" s="359"/>
    </row>
    <row r="244" spans="13:20">
      <c r="M244"/>
      <c r="N244"/>
      <c r="O244"/>
      <c r="P244" s="359"/>
      <c r="Q244" s="359"/>
      <c r="R244" s="359"/>
      <c r="S244" s="359"/>
      <c r="T244" s="359"/>
    </row>
    <row r="245" spans="13:20">
      <c r="M245"/>
      <c r="N245"/>
      <c r="O245"/>
      <c r="P245" s="359"/>
      <c r="Q245" s="359"/>
      <c r="R245" s="359"/>
      <c r="S245" s="359"/>
      <c r="T245" s="359"/>
    </row>
    <row r="246" spans="13:20">
      <c r="M246"/>
      <c r="N246"/>
      <c r="O246"/>
      <c r="P246" s="359"/>
      <c r="Q246" s="359"/>
      <c r="R246" s="359"/>
      <c r="S246" s="359"/>
      <c r="T246" s="359"/>
    </row>
    <row r="247" spans="13:20">
      <c r="M247"/>
      <c r="N247"/>
      <c r="O247"/>
      <c r="P247" s="359"/>
      <c r="Q247" s="359"/>
      <c r="R247" s="359"/>
      <c r="S247" s="359"/>
      <c r="T247" s="359"/>
    </row>
    <row r="248" spans="13:20">
      <c r="M248"/>
      <c r="N248"/>
      <c r="O248"/>
      <c r="P248" s="359"/>
      <c r="Q248" s="359"/>
      <c r="R248" s="359"/>
      <c r="S248" s="359"/>
      <c r="T248" s="359"/>
    </row>
    <row r="249" spans="13:20">
      <c r="M249"/>
      <c r="N249"/>
      <c r="O249"/>
      <c r="P249" s="359"/>
      <c r="Q249" s="359"/>
      <c r="R249" s="359"/>
      <c r="S249" s="359"/>
      <c r="T249" s="359"/>
    </row>
    <row r="250" spans="13:20">
      <c r="M250"/>
      <c r="N250"/>
      <c r="O250"/>
      <c r="P250" s="359"/>
      <c r="Q250" s="359"/>
      <c r="R250" s="359"/>
      <c r="S250" s="359"/>
      <c r="T250" s="359"/>
    </row>
    <row r="251" spans="13:20">
      <c r="M251"/>
      <c r="N251"/>
      <c r="O251"/>
      <c r="P251" s="359"/>
      <c r="Q251" s="359"/>
      <c r="R251" s="359"/>
      <c r="S251" s="359"/>
      <c r="T251" s="359"/>
    </row>
    <row r="252" spans="13:20">
      <c r="M252"/>
      <c r="N252"/>
      <c r="O252"/>
      <c r="P252" s="359"/>
      <c r="Q252" s="359"/>
      <c r="R252" s="359"/>
      <c r="S252" s="359"/>
      <c r="T252" s="359"/>
    </row>
    <row r="253" spans="13:20">
      <c r="M253"/>
      <c r="N253"/>
      <c r="O253"/>
      <c r="P253" s="359"/>
      <c r="Q253" s="359"/>
      <c r="R253" s="359"/>
      <c r="S253" s="359"/>
      <c r="T253" s="359"/>
    </row>
    <row r="254" spans="13:20">
      <c r="M254"/>
      <c r="N254"/>
      <c r="O254"/>
      <c r="P254" s="359"/>
      <c r="Q254" s="359"/>
      <c r="R254" s="359"/>
      <c r="S254" s="359"/>
      <c r="T254" s="359"/>
    </row>
    <row r="255" spans="13:20">
      <c r="M255"/>
      <c r="N255"/>
      <c r="O255"/>
      <c r="P255" s="359"/>
      <c r="Q255" s="359"/>
      <c r="R255" s="359"/>
      <c r="S255" s="359"/>
      <c r="T255" s="359"/>
    </row>
    <row r="256" spans="13:20">
      <c r="M256"/>
      <c r="N256"/>
      <c r="O256"/>
      <c r="P256" s="359"/>
      <c r="Q256" s="359"/>
      <c r="R256" s="359"/>
      <c r="S256" s="359"/>
      <c r="T256" s="359"/>
    </row>
    <row r="257" spans="13:20">
      <c r="M257"/>
      <c r="N257"/>
      <c r="O257"/>
      <c r="P257" s="359"/>
      <c r="Q257" s="359"/>
      <c r="R257" s="359"/>
      <c r="S257" s="359"/>
      <c r="T257" s="359"/>
    </row>
    <row r="258" spans="13:20">
      <c r="M258"/>
      <c r="N258"/>
      <c r="O258"/>
      <c r="P258" s="359"/>
      <c r="Q258" s="359"/>
      <c r="R258" s="359"/>
      <c r="S258" s="359"/>
      <c r="T258" s="359"/>
    </row>
    <row r="259" spans="13:20">
      <c r="M259"/>
      <c r="N259"/>
      <c r="O259"/>
      <c r="P259" s="359"/>
      <c r="Q259" s="359"/>
      <c r="R259" s="359"/>
      <c r="S259" s="359"/>
      <c r="T259" s="359"/>
    </row>
    <row r="260" spans="13:20">
      <c r="M260"/>
      <c r="N260"/>
      <c r="O260"/>
      <c r="P260" s="359"/>
      <c r="Q260" s="359"/>
      <c r="R260" s="359"/>
      <c r="S260" s="359"/>
      <c r="T260" s="359"/>
    </row>
    <row r="261" spans="13:20">
      <c r="M261"/>
      <c r="N261"/>
      <c r="O261"/>
      <c r="P261" s="359"/>
      <c r="Q261" s="359"/>
      <c r="R261" s="359"/>
      <c r="S261" s="359"/>
      <c r="T261" s="359"/>
    </row>
    <row r="262" spans="13:20">
      <c r="M262"/>
      <c r="N262"/>
      <c r="O262"/>
      <c r="P262" s="359"/>
      <c r="Q262" s="359"/>
      <c r="R262" s="359"/>
      <c r="S262" s="359"/>
      <c r="T262" s="359"/>
    </row>
    <row r="263" spans="13:20">
      <c r="M263"/>
      <c r="N263"/>
      <c r="O263"/>
      <c r="P263" s="359"/>
      <c r="Q263" s="359"/>
      <c r="R263" s="359"/>
      <c r="S263" s="359"/>
      <c r="T263" s="359"/>
    </row>
    <row r="264" spans="13:20">
      <c r="M264"/>
      <c r="N264"/>
      <c r="O264"/>
      <c r="P264" s="359"/>
      <c r="Q264" s="359"/>
      <c r="R264" s="359"/>
      <c r="S264" s="359"/>
      <c r="T264" s="359"/>
    </row>
    <row r="265" spans="13:20">
      <c r="M265"/>
      <c r="N265"/>
      <c r="O265"/>
      <c r="P265" s="359"/>
      <c r="Q265" s="359"/>
      <c r="R265" s="359"/>
      <c r="S265" s="359"/>
      <c r="T265" s="359"/>
    </row>
    <row r="266" spans="13:20">
      <c r="M266"/>
      <c r="N266"/>
      <c r="O266"/>
      <c r="P266" s="359"/>
      <c r="Q266" s="359"/>
      <c r="R266" s="359"/>
      <c r="S266" s="359"/>
      <c r="T266" s="359"/>
    </row>
    <row r="267" spans="13:20">
      <c r="M267"/>
      <c r="N267"/>
      <c r="O267"/>
      <c r="P267" s="359"/>
      <c r="Q267" s="359"/>
      <c r="R267" s="359"/>
      <c r="S267" s="359"/>
      <c r="T267" s="359"/>
    </row>
    <row r="268" spans="13:20">
      <c r="M268"/>
      <c r="N268"/>
      <c r="O268"/>
      <c r="P268" s="359"/>
      <c r="Q268" s="359"/>
      <c r="R268" s="359"/>
      <c r="S268" s="359"/>
      <c r="T268" s="359"/>
    </row>
    <row r="269" spans="13:20">
      <c r="M269"/>
      <c r="N269"/>
      <c r="O269"/>
      <c r="P269" s="359"/>
      <c r="Q269" s="359"/>
      <c r="R269" s="359"/>
      <c r="S269" s="359"/>
      <c r="T269" s="359"/>
    </row>
    <row r="270" spans="13:20">
      <c r="M270"/>
      <c r="N270"/>
      <c r="O270"/>
      <c r="P270" s="359"/>
      <c r="Q270" s="359"/>
      <c r="R270" s="359"/>
      <c r="S270" s="359"/>
      <c r="T270" s="359"/>
    </row>
    <row r="271" spans="13:20">
      <c r="M271"/>
      <c r="N271"/>
      <c r="O271"/>
      <c r="P271" s="359"/>
      <c r="Q271" s="359"/>
      <c r="R271" s="359"/>
      <c r="S271" s="359"/>
      <c r="T271" s="359"/>
    </row>
    <row r="272" spans="13:20">
      <c r="M272"/>
      <c r="N272"/>
      <c r="O272"/>
      <c r="P272" s="359"/>
      <c r="Q272" s="359"/>
      <c r="R272" s="359"/>
      <c r="S272" s="359"/>
      <c r="T272" s="359"/>
    </row>
    <row r="273" spans="13:20">
      <c r="M273"/>
      <c r="N273"/>
      <c r="O273"/>
      <c r="P273" s="359"/>
      <c r="Q273" s="359"/>
      <c r="R273" s="359"/>
      <c r="S273" s="359"/>
      <c r="T273" s="359"/>
    </row>
    <row r="274" spans="13:20">
      <c r="M274"/>
      <c r="N274"/>
      <c r="O274"/>
      <c r="P274" s="359"/>
      <c r="Q274" s="359"/>
      <c r="R274" s="359"/>
      <c r="S274" s="359"/>
      <c r="T274" s="359"/>
    </row>
    <row r="275" spans="13:20">
      <c r="M275"/>
      <c r="N275"/>
      <c r="O275"/>
      <c r="P275" s="359"/>
      <c r="Q275" s="359"/>
      <c r="R275" s="359"/>
      <c r="S275" s="359"/>
      <c r="T275" s="359"/>
    </row>
    <row r="276" spans="13:20">
      <c r="M276"/>
      <c r="N276"/>
      <c r="O276"/>
      <c r="P276" s="359"/>
      <c r="Q276" s="359"/>
      <c r="R276" s="359"/>
      <c r="S276" s="359"/>
      <c r="T276" s="359"/>
    </row>
    <row r="277" spans="13:20">
      <c r="M277"/>
      <c r="N277"/>
      <c r="O277"/>
      <c r="P277" s="359"/>
      <c r="Q277" s="359"/>
      <c r="R277" s="359"/>
      <c r="S277" s="359"/>
      <c r="T277" s="359"/>
    </row>
    <row r="278" spans="13:20">
      <c r="M278"/>
      <c r="N278"/>
      <c r="O278"/>
      <c r="P278" s="359"/>
      <c r="Q278" s="359"/>
      <c r="R278" s="359"/>
      <c r="S278" s="359"/>
      <c r="T278" s="359"/>
    </row>
    <row r="279" spans="13:20">
      <c r="M279"/>
      <c r="N279"/>
      <c r="O279"/>
      <c r="P279" s="359"/>
      <c r="Q279" s="359"/>
      <c r="R279" s="359"/>
      <c r="S279" s="359"/>
      <c r="T279" s="359"/>
    </row>
    <row r="280" spans="13:20">
      <c r="M280"/>
      <c r="N280"/>
      <c r="O280"/>
      <c r="P280" s="359"/>
      <c r="Q280" s="359"/>
      <c r="R280" s="359"/>
      <c r="S280" s="359"/>
      <c r="T280" s="359"/>
    </row>
    <row r="281" spans="13:20">
      <c r="M281"/>
      <c r="N281"/>
      <c r="O281"/>
      <c r="P281" s="359"/>
      <c r="Q281" s="359"/>
      <c r="R281" s="359"/>
      <c r="S281" s="359"/>
      <c r="T281" s="359"/>
    </row>
    <row r="282" spans="13:20">
      <c r="M282"/>
      <c r="N282"/>
      <c r="O282"/>
      <c r="P282" s="359"/>
      <c r="Q282" s="359"/>
      <c r="R282" s="359"/>
      <c r="S282" s="359"/>
      <c r="T282" s="359"/>
    </row>
    <row r="283" spans="13:20">
      <c r="M283"/>
      <c r="N283"/>
      <c r="O283"/>
      <c r="P283" s="359"/>
      <c r="Q283" s="359"/>
      <c r="R283" s="359"/>
      <c r="S283" s="359"/>
      <c r="T283" s="359"/>
    </row>
    <row r="284" spans="13:20">
      <c r="M284"/>
      <c r="N284"/>
      <c r="O284"/>
      <c r="P284" s="359"/>
      <c r="Q284" s="359"/>
      <c r="R284" s="359"/>
      <c r="S284" s="359"/>
      <c r="T284" s="359"/>
    </row>
    <row r="285" spans="13:20">
      <c r="M285"/>
      <c r="N285"/>
      <c r="O285"/>
      <c r="P285" s="359"/>
      <c r="Q285" s="359"/>
      <c r="R285" s="359"/>
      <c r="S285" s="359"/>
      <c r="T285" s="359"/>
    </row>
    <row r="286" spans="13:20">
      <c r="M286"/>
      <c r="N286"/>
      <c r="O286"/>
      <c r="P286" s="359"/>
      <c r="Q286" s="359"/>
      <c r="R286" s="359"/>
      <c r="S286" s="359"/>
      <c r="T286" s="359"/>
    </row>
    <row r="287" spans="13:20">
      <c r="M287"/>
      <c r="N287"/>
      <c r="O287"/>
      <c r="P287" s="359"/>
      <c r="Q287" s="359"/>
      <c r="R287" s="359"/>
      <c r="S287" s="359"/>
      <c r="T287" s="359"/>
    </row>
    <row r="288" spans="13:20">
      <c r="M288"/>
      <c r="N288"/>
      <c r="O288"/>
      <c r="P288" s="359"/>
      <c r="Q288" s="359"/>
      <c r="R288" s="359"/>
      <c r="S288" s="359"/>
      <c r="T288" s="359"/>
    </row>
    <row r="289" spans="13:20">
      <c r="M289"/>
      <c r="N289"/>
      <c r="O289"/>
      <c r="P289" s="359"/>
      <c r="Q289" s="359"/>
      <c r="R289" s="359"/>
      <c r="S289" s="359"/>
      <c r="T289" s="359"/>
    </row>
    <row r="290" spans="13:20">
      <c r="M290"/>
      <c r="N290"/>
      <c r="O290"/>
      <c r="P290" s="359"/>
      <c r="Q290" s="359"/>
      <c r="R290" s="359"/>
      <c r="S290" s="359"/>
      <c r="T290" s="359"/>
    </row>
    <row r="291" spans="13:20">
      <c r="M291"/>
      <c r="N291"/>
      <c r="O291"/>
      <c r="P291" s="359"/>
      <c r="Q291" s="359"/>
      <c r="R291" s="359"/>
      <c r="S291" s="359"/>
      <c r="T291" s="359"/>
    </row>
    <row r="292" spans="13:20">
      <c r="M292"/>
      <c r="N292"/>
      <c r="O292"/>
      <c r="P292" s="359"/>
      <c r="Q292" s="359"/>
      <c r="R292" s="359"/>
      <c r="S292" s="359"/>
      <c r="T292" s="359"/>
    </row>
    <row r="293" spans="13:20">
      <c r="M293"/>
      <c r="N293"/>
      <c r="O293"/>
      <c r="P293" s="359"/>
      <c r="Q293" s="359"/>
      <c r="R293" s="359"/>
      <c r="S293" s="359"/>
      <c r="T293" s="359"/>
    </row>
    <row r="294" spans="13:20">
      <c r="M294"/>
      <c r="N294"/>
      <c r="O294"/>
      <c r="P294" s="359"/>
      <c r="Q294" s="359"/>
      <c r="R294" s="359"/>
      <c r="S294" s="359"/>
      <c r="T294" s="359"/>
    </row>
    <row r="295" spans="13:20">
      <c r="M295"/>
      <c r="N295"/>
      <c r="O295"/>
      <c r="P295" s="359"/>
      <c r="Q295" s="359"/>
      <c r="R295" s="359"/>
      <c r="S295" s="359"/>
      <c r="T295" s="359"/>
    </row>
    <row r="296" spans="13:20">
      <c r="M296"/>
      <c r="N296"/>
      <c r="O296"/>
      <c r="P296" s="359"/>
      <c r="Q296" s="359"/>
      <c r="R296" s="359"/>
      <c r="S296" s="359"/>
      <c r="T296" s="359"/>
    </row>
    <row r="297" spans="13:20">
      <c r="M297"/>
      <c r="N297"/>
      <c r="O297"/>
      <c r="P297" s="359"/>
      <c r="Q297" s="359"/>
      <c r="R297" s="359"/>
      <c r="S297" s="359"/>
      <c r="T297" s="359"/>
    </row>
    <row r="298" spans="13:20">
      <c r="M298"/>
      <c r="N298"/>
      <c r="O298"/>
      <c r="P298" s="359"/>
      <c r="Q298" s="359"/>
      <c r="R298" s="359"/>
      <c r="S298" s="359"/>
      <c r="T298" s="359"/>
    </row>
    <row r="299" spans="13:20">
      <c r="M299"/>
      <c r="N299"/>
      <c r="O299"/>
      <c r="P299" s="359"/>
      <c r="Q299" s="359"/>
      <c r="R299" s="359"/>
      <c r="S299" s="359"/>
      <c r="T299" s="359"/>
    </row>
    <row r="300" spans="13:20">
      <c r="M300"/>
      <c r="N300"/>
      <c r="O300"/>
      <c r="P300" s="359"/>
      <c r="Q300" s="359"/>
      <c r="R300" s="359"/>
      <c r="S300" s="359"/>
      <c r="T300" s="359"/>
    </row>
  </sheetData>
  <sheetProtection password="B760" sheet="1" objects="1" scenarios="1" selectLockedCells="1" selectUnlockedCells="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92D050"/>
    <pageSetUpPr fitToPage="1"/>
  </sheetPr>
  <dimension ref="A1:G62"/>
  <sheetViews>
    <sheetView topLeftCell="A37" workbookViewId="0">
      <selection sqref="A1:J15"/>
    </sheetView>
  </sheetViews>
  <sheetFormatPr defaultRowHeight="15.75"/>
  <cols>
    <col min="1" max="1" width="9.140625" style="458"/>
    <col min="2" max="2" width="71.7109375" style="458" customWidth="1"/>
    <col min="3" max="3" width="19.42578125" style="458" customWidth="1"/>
    <col min="4" max="4" width="17.7109375" style="458" customWidth="1"/>
    <col min="5" max="6" width="9.140625" style="458"/>
    <col min="7" max="7" width="67.42578125" style="458" customWidth="1"/>
    <col min="8" max="16384" width="9.140625" style="458"/>
  </cols>
  <sheetData>
    <row r="1" spans="1:6" ht="42" customHeight="1">
      <c r="A1" s="1698" t="s">
        <v>1130</v>
      </c>
      <c r="B1" s="1698"/>
      <c r="C1" s="1698"/>
      <c r="D1" s="1698"/>
    </row>
    <row r="2" spans="1:6">
      <c r="A2" s="461"/>
      <c r="B2" s="461"/>
      <c r="C2" s="461"/>
      <c r="D2" s="461"/>
    </row>
    <row r="3" spans="1:6">
      <c r="A3" s="1621" t="str">
        <f>Титульный!B10</f>
        <v xml:space="preserve"> </v>
      </c>
      <c r="B3" s="1621"/>
      <c r="C3" s="1621"/>
      <c r="D3" s="1621"/>
    </row>
    <row r="4" spans="1:6">
      <c r="A4" s="1622" t="str">
        <f>Титульный!B21</f>
        <v/>
      </c>
      <c r="B4" s="1622"/>
      <c r="C4" s="1622"/>
      <c r="D4" s="1622"/>
    </row>
    <row r="5" spans="1:6">
      <c r="A5" s="126"/>
      <c r="B5" s="126"/>
      <c r="C5" s="126"/>
      <c r="D5" s="461"/>
    </row>
    <row r="6" spans="1:6">
      <c r="A6" s="337" t="s">
        <v>199</v>
      </c>
      <c r="B6" s="100">
        <f>Титульный!B6</f>
        <v>0</v>
      </c>
      <c r="C6" s="126"/>
      <c r="D6" s="461"/>
    </row>
    <row r="7" spans="1:6">
      <c r="A7" s="98" t="s">
        <v>200</v>
      </c>
      <c r="B7" s="100">
        <f>Титульный!B7</f>
        <v>0</v>
      </c>
      <c r="C7" s="126"/>
      <c r="D7" s="461"/>
    </row>
    <row r="8" spans="1:6">
      <c r="A8" s="461"/>
      <c r="B8" s="461"/>
      <c r="C8" s="461"/>
      <c r="D8" s="462" t="s">
        <v>588</v>
      </c>
    </row>
    <row r="9" spans="1:6">
      <c r="A9" s="1695" t="s">
        <v>183</v>
      </c>
      <c r="B9" s="1695" t="s">
        <v>308</v>
      </c>
      <c r="C9" s="1697" t="s">
        <v>1129</v>
      </c>
      <c r="D9" s="1697"/>
      <c r="E9" s="459"/>
      <c r="F9" s="459"/>
    </row>
    <row r="10" spans="1:6" ht="76.5" customHeight="1">
      <c r="A10" s="1696"/>
      <c r="B10" s="1696"/>
      <c r="C10" s="176" t="s">
        <v>382</v>
      </c>
      <c r="D10" s="176" t="s">
        <v>1931</v>
      </c>
      <c r="E10" s="459"/>
      <c r="F10" s="459"/>
    </row>
    <row r="11" spans="1:6" ht="24" customHeight="1">
      <c r="A11" s="229" t="s">
        <v>611</v>
      </c>
      <c r="B11" s="228" t="s">
        <v>612</v>
      </c>
      <c r="C11" s="463">
        <f>'НВВск и тариф'!C11</f>
        <v>0</v>
      </c>
      <c r="D11" s="463">
        <f>'НВВск и тариф'!E11</f>
        <v>0</v>
      </c>
      <c r="E11" s="459"/>
      <c r="F11" s="459"/>
    </row>
    <row r="12" spans="1:6" ht="15.75" customHeight="1">
      <c r="A12" s="230" t="s">
        <v>222</v>
      </c>
      <c r="B12" s="233" t="s">
        <v>613</v>
      </c>
      <c r="C12" s="464">
        <f>'НВВск и тариф'!C12</f>
        <v>0</v>
      </c>
      <c r="D12" s="464">
        <f>'НВВск и тариф'!E12</f>
        <v>0</v>
      </c>
    </row>
    <row r="13" spans="1:6">
      <c r="A13" s="232" t="s">
        <v>228</v>
      </c>
      <c r="B13" s="233" t="s">
        <v>638</v>
      </c>
      <c r="C13" s="465">
        <f>'НВВск и тариф'!C14</f>
        <v>1</v>
      </c>
      <c r="D13" s="464">
        <f>'НВВск и тариф'!E14</f>
        <v>1</v>
      </c>
    </row>
    <row r="14" spans="1:6">
      <c r="A14" s="232" t="s">
        <v>230</v>
      </c>
      <c r="B14" s="233" t="s">
        <v>639</v>
      </c>
      <c r="C14" s="465">
        <f>'НВВск и тариф'!C15</f>
        <v>0</v>
      </c>
      <c r="D14" s="464">
        <f>'НВВск и тариф'!E15</f>
        <v>0</v>
      </c>
    </row>
    <row r="15" spans="1:6">
      <c r="A15" s="232" t="s">
        <v>238</v>
      </c>
      <c r="B15" s="233" t="s">
        <v>640</v>
      </c>
      <c r="C15" s="465">
        <f>'НВВск и тариф'!C16</f>
        <v>0</v>
      </c>
      <c r="D15" s="464">
        <f>'НВВск и тариф'!E16</f>
        <v>0</v>
      </c>
    </row>
    <row r="16" spans="1:6">
      <c r="A16" s="229" t="s">
        <v>650</v>
      </c>
      <c r="B16" s="228" t="s">
        <v>644</v>
      </c>
      <c r="C16" s="463">
        <f>'НВВск и тариф'!C17</f>
        <v>0</v>
      </c>
      <c r="D16" s="463">
        <f>'НВВск и тариф'!E17</f>
        <v>0</v>
      </c>
    </row>
    <row r="17" spans="1:4">
      <c r="A17" s="229" t="s">
        <v>651</v>
      </c>
      <c r="B17" s="228" t="s">
        <v>645</v>
      </c>
      <c r="C17" s="463">
        <f>'НВВск и тариф'!C18</f>
        <v>0</v>
      </c>
      <c r="D17" s="463">
        <f>'НВВск и тариф'!E18</f>
        <v>0</v>
      </c>
    </row>
    <row r="18" spans="1:4" ht="31.5">
      <c r="A18" s="229" t="s">
        <v>241</v>
      </c>
      <c r="B18" s="228" t="s">
        <v>652</v>
      </c>
      <c r="C18" s="466">
        <f>'НВВск и тариф'!C19</f>
        <v>0</v>
      </c>
      <c r="D18" s="466">
        <f>'НВВск и тариф'!E19</f>
        <v>0</v>
      </c>
    </row>
    <row r="19" spans="1:4">
      <c r="A19" s="232" t="s">
        <v>516</v>
      </c>
      <c r="B19" s="233" t="s">
        <v>653</v>
      </c>
      <c r="C19" s="465">
        <f>'НВВск и тариф'!C20</f>
        <v>0</v>
      </c>
      <c r="D19" s="465">
        <f>'НВВск и тариф'!E20</f>
        <v>0</v>
      </c>
    </row>
    <row r="20" spans="1:4">
      <c r="A20" s="232" t="s">
        <v>517</v>
      </c>
      <c r="B20" s="233" t="s">
        <v>654</v>
      </c>
      <c r="C20" s="465">
        <f>'НВВск и тариф'!C21</f>
        <v>0</v>
      </c>
      <c r="D20" s="465">
        <f>'НВВск и тариф'!E21</f>
        <v>0</v>
      </c>
    </row>
    <row r="21" spans="1:4">
      <c r="A21" s="232" t="s">
        <v>655</v>
      </c>
      <c r="B21" s="233" t="s">
        <v>656</v>
      </c>
      <c r="C21" s="465">
        <f>'НВВск и тариф'!C22</f>
        <v>0</v>
      </c>
      <c r="D21" s="465">
        <f>'НВВск и тариф'!E22</f>
        <v>0</v>
      </c>
    </row>
    <row r="22" spans="1:4">
      <c r="A22" s="232" t="s">
        <v>657</v>
      </c>
      <c r="B22" s="233" t="s">
        <v>658</v>
      </c>
      <c r="C22" s="465">
        <f>'НВВск и тариф'!C23</f>
        <v>0</v>
      </c>
      <c r="D22" s="465">
        <f>'НВВск и тариф'!E23</f>
        <v>0</v>
      </c>
    </row>
    <row r="23" spans="1:4">
      <c r="A23" s="232" t="s">
        <v>659</v>
      </c>
      <c r="B23" s="233" t="s">
        <v>660</v>
      </c>
      <c r="C23" s="465">
        <f>'НВВск и тариф'!C24</f>
        <v>0</v>
      </c>
      <c r="D23" s="465">
        <f>'НВВск и тариф'!E24</f>
        <v>0</v>
      </c>
    </row>
    <row r="24" spans="1:4">
      <c r="A24" s="231" t="s">
        <v>207</v>
      </c>
      <c r="B24" s="228" t="s">
        <v>507</v>
      </c>
      <c r="C24" s="466">
        <f>'НВВск и тариф'!C25</f>
        <v>0</v>
      </c>
      <c r="D24" s="466">
        <f>'НВВск и тариф'!E25</f>
        <v>0</v>
      </c>
    </row>
    <row r="25" spans="1:4">
      <c r="A25" s="232" t="s">
        <v>196</v>
      </c>
      <c r="B25" s="233" t="s">
        <v>661</v>
      </c>
      <c r="C25" s="465">
        <f>'НВВск и тариф'!C26</f>
        <v>0</v>
      </c>
      <c r="D25" s="465">
        <f>'НВВск и тариф'!E26</f>
        <v>0</v>
      </c>
    </row>
    <row r="26" spans="1:4">
      <c r="A26" s="232" t="s">
        <v>197</v>
      </c>
      <c r="B26" s="233" t="s">
        <v>662</v>
      </c>
      <c r="C26" s="465">
        <f>'НВВск и тариф'!C27</f>
        <v>0</v>
      </c>
      <c r="D26" s="465">
        <f>'НВВск и тариф'!E27</f>
        <v>0</v>
      </c>
    </row>
    <row r="27" spans="1:4">
      <c r="A27" s="232" t="s">
        <v>198</v>
      </c>
      <c r="B27" s="233" t="s">
        <v>663</v>
      </c>
      <c r="C27" s="465">
        <f>'НВВск и тариф'!C28</f>
        <v>0</v>
      </c>
      <c r="D27" s="465">
        <f>'НВВск и тариф'!E28</f>
        <v>0</v>
      </c>
    </row>
    <row r="28" spans="1:4">
      <c r="A28" s="232" t="s">
        <v>208</v>
      </c>
      <c r="B28" s="233" t="s">
        <v>664</v>
      </c>
      <c r="C28" s="465">
        <f>'НВВск и тариф'!C29</f>
        <v>0</v>
      </c>
      <c r="D28" s="465">
        <f>'НВВск и тариф'!E29</f>
        <v>0</v>
      </c>
    </row>
    <row r="29" spans="1:4">
      <c r="A29" s="232" t="s">
        <v>209</v>
      </c>
      <c r="B29" s="233" t="s">
        <v>665</v>
      </c>
      <c r="C29" s="465">
        <f>'НВВск и тариф'!C30</f>
        <v>0</v>
      </c>
      <c r="D29" s="465">
        <f>'НВВск и тариф'!E30</f>
        <v>0</v>
      </c>
    </row>
    <row r="30" spans="1:4">
      <c r="A30" s="232" t="s">
        <v>210</v>
      </c>
      <c r="B30" s="233" t="s">
        <v>666</v>
      </c>
      <c r="C30" s="465">
        <f>'НВВск и тариф'!C31</f>
        <v>0</v>
      </c>
      <c r="D30" s="465">
        <f>'НВВск и тариф'!E31</f>
        <v>0</v>
      </c>
    </row>
    <row r="31" spans="1:4">
      <c r="A31" s="232" t="s">
        <v>211</v>
      </c>
      <c r="B31" s="233" t="s">
        <v>667</v>
      </c>
      <c r="C31" s="465">
        <f>'НВВск и тариф'!C32</f>
        <v>0</v>
      </c>
      <c r="D31" s="465">
        <f>'НВВск и тариф'!E32</f>
        <v>0</v>
      </c>
    </row>
    <row r="32" spans="1:4">
      <c r="A32" s="231" t="s">
        <v>212</v>
      </c>
      <c r="B32" s="228" t="s">
        <v>668</v>
      </c>
      <c r="C32" s="466">
        <f>'НВВск и тариф'!C33</f>
        <v>0</v>
      </c>
      <c r="D32" s="466">
        <f>'НВВск и тариф'!E33</f>
        <v>0</v>
      </c>
    </row>
    <row r="33" spans="1:4">
      <c r="A33" s="231" t="s">
        <v>324</v>
      </c>
      <c r="B33" s="228" t="s">
        <v>669</v>
      </c>
      <c r="C33" s="466">
        <f>'НВВск и тариф'!C34</f>
        <v>0</v>
      </c>
      <c r="D33" s="466">
        <f>'НВВск и тариф'!E34</f>
        <v>0</v>
      </c>
    </row>
    <row r="34" spans="1:4">
      <c r="A34" s="231" t="s">
        <v>317</v>
      </c>
      <c r="B34" s="228" t="s">
        <v>1799</v>
      </c>
      <c r="C34" s="466">
        <f>'НВВск и тариф'!C35</f>
        <v>0</v>
      </c>
      <c r="D34" s="466">
        <f>'НВВск и тариф'!E35</f>
        <v>0</v>
      </c>
    </row>
    <row r="35" spans="1:4">
      <c r="A35" s="231" t="s">
        <v>328</v>
      </c>
      <c r="B35" s="228" t="s">
        <v>671</v>
      </c>
      <c r="C35" s="466">
        <f>'НВВск и тариф'!C36</f>
        <v>0</v>
      </c>
      <c r="D35" s="466">
        <f>'НВВск и тариф'!E36</f>
        <v>0</v>
      </c>
    </row>
    <row r="36" spans="1:4">
      <c r="A36" s="231" t="s">
        <v>330</v>
      </c>
      <c r="B36" s="228" t="s">
        <v>1921</v>
      </c>
      <c r="C36" s="466">
        <f>'НВВск и тариф'!C37</f>
        <v>0</v>
      </c>
      <c r="D36" s="466">
        <f>'НВВск и тариф'!E37</f>
        <v>0</v>
      </c>
    </row>
    <row r="37" spans="1:4">
      <c r="A37" s="231" t="s">
        <v>338</v>
      </c>
      <c r="B37" s="228" t="s">
        <v>673</v>
      </c>
      <c r="C37" s="466">
        <f>'НВВск и тариф'!C38</f>
        <v>0</v>
      </c>
      <c r="D37" s="466">
        <f>'НВВск и тариф'!E38</f>
        <v>0</v>
      </c>
    </row>
    <row r="38" spans="1:4">
      <c r="A38" s="229" t="s">
        <v>674</v>
      </c>
      <c r="B38" s="228" t="s">
        <v>646</v>
      </c>
      <c r="C38" s="463">
        <f>'НВВск и тариф'!C39</f>
        <v>0</v>
      </c>
      <c r="D38" s="463">
        <f>'НВВск и тариф'!E39</f>
        <v>0</v>
      </c>
    </row>
    <row r="39" spans="1:4">
      <c r="A39" s="229" t="s">
        <v>675</v>
      </c>
      <c r="B39" s="228" t="s">
        <v>647</v>
      </c>
      <c r="C39" s="463">
        <f>'НВВск и тариф'!C40</f>
        <v>0</v>
      </c>
      <c r="D39" s="463">
        <f>'НВВск и тариф'!E40</f>
        <v>0</v>
      </c>
    </row>
    <row r="40" spans="1:4" ht="31.5">
      <c r="A40" s="229" t="s">
        <v>680</v>
      </c>
      <c r="B40" s="228" t="s">
        <v>778</v>
      </c>
      <c r="C40" s="463">
        <f>'НВВск и тариф'!C41</f>
        <v>0</v>
      </c>
      <c r="D40" s="463">
        <f>'НВВск и тариф'!E41</f>
        <v>0</v>
      </c>
    </row>
    <row r="41" spans="1:4" ht="31.5">
      <c r="A41" s="229" t="s">
        <v>681</v>
      </c>
      <c r="B41" s="228" t="s">
        <v>940</v>
      </c>
      <c r="C41" s="463">
        <f>'НВВск и тариф'!C42</f>
        <v>0</v>
      </c>
      <c r="D41" s="463">
        <f>'НВВск и тариф'!E42</f>
        <v>0</v>
      </c>
    </row>
    <row r="42" spans="1:4" ht="47.25">
      <c r="A42" s="229" t="s">
        <v>684</v>
      </c>
      <c r="B42" s="1060" t="s">
        <v>1917</v>
      </c>
      <c r="C42" s="463">
        <f>'НВВск и тариф'!C43</f>
        <v>0</v>
      </c>
      <c r="D42" s="463">
        <f>'НВВск и тариф'!E43</f>
        <v>0</v>
      </c>
    </row>
    <row r="43" spans="1:4" ht="63">
      <c r="A43" s="229" t="s">
        <v>1932</v>
      </c>
      <c r="B43" s="1060" t="s">
        <v>1918</v>
      </c>
      <c r="C43" s="463">
        <f>'НВВск и тариф'!C44</f>
        <v>0</v>
      </c>
      <c r="D43" s="463">
        <f>'НВВск и тариф'!E44</f>
        <v>0</v>
      </c>
    </row>
    <row r="44" spans="1:4" ht="31.5">
      <c r="A44" s="229" t="s">
        <v>1861</v>
      </c>
      <c r="B44" s="1060" t="s">
        <v>1919</v>
      </c>
      <c r="C44" s="463">
        <f>'НВВск и тариф'!C45</f>
        <v>0</v>
      </c>
      <c r="D44" s="463">
        <f>'НВВск и тариф'!E45</f>
        <v>0</v>
      </c>
    </row>
    <row r="45" spans="1:4">
      <c r="A45" s="229" t="s">
        <v>941</v>
      </c>
      <c r="B45" s="228" t="s">
        <v>934</v>
      </c>
      <c r="C45" s="463">
        <f>'НВВск и тариф'!C46</f>
        <v>0</v>
      </c>
      <c r="D45" s="463">
        <f>'НВВск и тариф'!E46</f>
        <v>0</v>
      </c>
    </row>
    <row r="46" spans="1:4">
      <c r="A46" s="229" t="s">
        <v>945</v>
      </c>
      <c r="B46" s="228" t="s">
        <v>942</v>
      </c>
      <c r="C46" s="463">
        <f>'НВВск и тариф'!C47</f>
        <v>0</v>
      </c>
      <c r="D46" s="463">
        <f>'НВВск и тариф'!E47</f>
        <v>0</v>
      </c>
    </row>
    <row r="47" spans="1:4">
      <c r="A47" s="229"/>
      <c r="B47" s="467" t="s">
        <v>943</v>
      </c>
      <c r="C47" s="468">
        <f>'НВВск и тариф'!C48</f>
        <v>0</v>
      </c>
      <c r="D47" s="468">
        <f>'НВВск и тариф'!E48</f>
        <v>0</v>
      </c>
    </row>
    <row r="48" spans="1:4">
      <c r="A48" s="229"/>
      <c r="B48" s="469" t="s">
        <v>944</v>
      </c>
      <c r="C48" s="468">
        <f>'НВВск и тариф'!C49</f>
        <v>0</v>
      </c>
      <c r="D48" s="468">
        <f>'НВВск и тариф'!E49</f>
        <v>0</v>
      </c>
    </row>
    <row r="49" spans="1:7">
      <c r="A49" s="229" t="s">
        <v>948</v>
      </c>
      <c r="B49" s="228" t="s">
        <v>946</v>
      </c>
      <c r="C49" s="463"/>
      <c r="D49" s="463"/>
    </row>
    <row r="50" spans="1:7">
      <c r="A50" s="229"/>
      <c r="B50" s="470" t="s">
        <v>1080</v>
      </c>
      <c r="C50" s="468">
        <f>'НВВск и тариф'!C51</f>
        <v>0</v>
      </c>
      <c r="D50" s="468">
        <f>'НВВск и тариф'!E51</f>
        <v>0</v>
      </c>
    </row>
    <row r="51" spans="1:7">
      <c r="A51" s="229"/>
      <c r="B51" s="470" t="s">
        <v>1081</v>
      </c>
      <c r="C51" s="468">
        <f>'НВВск и тариф'!C52</f>
        <v>0</v>
      </c>
      <c r="D51" s="468">
        <f>'НВВск и тариф'!E52</f>
        <v>0</v>
      </c>
      <c r="G51" s="223"/>
    </row>
    <row r="52" spans="1:7">
      <c r="A52" s="229" t="s">
        <v>1933</v>
      </c>
      <c r="B52" s="228" t="s">
        <v>949</v>
      </c>
      <c r="C52" s="471">
        <f>'НВВск и тариф'!C53</f>
        <v>0</v>
      </c>
      <c r="D52" s="471">
        <f>'НВВск и тариф'!E53</f>
        <v>0</v>
      </c>
      <c r="G52" s="223"/>
    </row>
    <row r="53" spans="1:7">
      <c r="A53" s="461"/>
      <c r="B53" s="461"/>
      <c r="C53" s="461"/>
      <c r="D53" s="461"/>
      <c r="G53" s="223"/>
    </row>
    <row r="54" spans="1:7">
      <c r="A54" s="461"/>
      <c r="B54" s="461"/>
      <c r="C54" s="461"/>
      <c r="D54" s="461"/>
      <c r="G54" s="223"/>
    </row>
    <row r="55" spans="1:7" s="223" customFormat="1">
      <c r="A55" s="557" t="s">
        <v>988</v>
      </c>
      <c r="B55" s="558"/>
      <c r="C55" s="558"/>
      <c r="D55" s="558"/>
      <c r="F55" s="460"/>
    </row>
    <row r="56" spans="1:7" s="223" customFormat="1">
      <c r="A56" s="557" t="s">
        <v>985</v>
      </c>
      <c r="B56" s="558"/>
      <c r="C56" s="558"/>
      <c r="D56" s="558"/>
      <c r="F56" s="460"/>
    </row>
    <row r="57" spans="1:7" s="223" customFormat="1">
      <c r="A57" s="557"/>
      <c r="B57" s="558"/>
      <c r="C57" s="558"/>
      <c r="D57" s="558"/>
      <c r="F57" s="460"/>
      <c r="G57" s="458"/>
    </row>
    <row r="58" spans="1:7" s="223" customFormat="1">
      <c r="A58" s="557"/>
      <c r="B58" s="558"/>
      <c r="C58" s="558"/>
      <c r="D58" s="558"/>
      <c r="F58" s="460"/>
      <c r="G58" s="458"/>
    </row>
    <row r="59" spans="1:7" s="223" customFormat="1">
      <c r="A59" s="557" t="s">
        <v>986</v>
      </c>
      <c r="B59" s="558"/>
      <c r="C59" s="1694"/>
      <c r="D59" s="1694"/>
      <c r="F59" s="460"/>
      <c r="G59" s="458"/>
    </row>
    <row r="60" spans="1:7" s="223" customFormat="1">
      <c r="A60" s="559" t="s">
        <v>987</v>
      </c>
      <c r="B60" s="560"/>
      <c r="C60" s="560"/>
      <c r="D60" s="560"/>
      <c r="F60" s="460"/>
      <c r="G60" s="458"/>
    </row>
    <row r="61" spans="1:7">
      <c r="A61" s="461"/>
      <c r="B61" s="461"/>
      <c r="C61" s="461"/>
      <c r="D61" s="461"/>
    </row>
    <row r="62" spans="1:7">
      <c r="A62" s="461"/>
      <c r="B62" s="461"/>
      <c r="C62" s="461"/>
      <c r="D62" s="461"/>
    </row>
  </sheetData>
  <mergeCells count="7">
    <mergeCell ref="C59:D59"/>
    <mergeCell ref="A9:A10"/>
    <mergeCell ref="B9:B10"/>
    <mergeCell ref="C9:D9"/>
    <mergeCell ref="A1:D1"/>
    <mergeCell ref="A3:D3"/>
    <mergeCell ref="A4:D4"/>
  </mergeCells>
  <pageMargins left="0.70866141732283472" right="0.70866141732283472" top="0.74803149606299213" bottom="0.74803149606299213" header="0.31496062992125984" footer="0.31496062992125984"/>
  <pageSetup paperSize="9" scale="7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theme="2" tint="-0.499984740745262"/>
    <pageSetUpPr fitToPage="1"/>
  </sheetPr>
  <dimension ref="A1:F66"/>
  <sheetViews>
    <sheetView zoomScale="60" zoomScaleNormal="60" workbookViewId="0">
      <pane xSplit="3" ySplit="10" topLeftCell="D11" activePane="bottomRight" state="frozen"/>
      <selection sqref="A1:J15"/>
      <selection pane="topRight" sqref="A1:J15"/>
      <selection pane="bottomLeft" sqref="A1:J15"/>
      <selection pane="bottomRight" sqref="A1:J15"/>
    </sheetView>
  </sheetViews>
  <sheetFormatPr defaultColWidth="9" defaultRowHeight="15.75"/>
  <cols>
    <col min="1" max="1" width="9.5703125" style="474" customWidth="1"/>
    <col min="2" max="2" width="69.7109375" style="474" customWidth="1"/>
    <col min="3" max="3" width="13.85546875" style="474" customWidth="1"/>
    <col min="4" max="4" width="22.7109375" style="474" customWidth="1"/>
    <col min="5" max="5" width="22.140625" style="474" customWidth="1"/>
    <col min="6" max="6" width="24.28515625" style="474" customWidth="1"/>
    <col min="7" max="8" width="9" style="474"/>
    <col min="9" max="9" width="74.7109375" style="474" customWidth="1"/>
    <col min="10" max="16384" width="9" style="474"/>
  </cols>
  <sheetData>
    <row r="1" spans="1:6" s="472" customFormat="1" ht="24" customHeight="1">
      <c r="A1" s="1417"/>
      <c r="B1" s="1417"/>
      <c r="C1" s="1417"/>
      <c r="D1" s="1417"/>
    </row>
    <row r="2" spans="1:6" s="472" customFormat="1" ht="10.5" customHeight="1">
      <c r="A2" s="1707"/>
      <c r="B2" s="1708"/>
      <c r="C2" s="1708"/>
      <c r="D2" s="1708"/>
    </row>
    <row r="3" spans="1:6" s="473" customFormat="1" ht="27.75" customHeight="1">
      <c r="A3" s="1709"/>
      <c r="B3" s="1709"/>
      <c r="C3" s="1709"/>
      <c r="D3" s="1709"/>
    </row>
    <row r="4" spans="1:6" s="473" customFormat="1" ht="42.75" customHeight="1">
      <c r="A4" s="1709" t="str">
        <f>Титульный!B21</f>
        <v/>
      </c>
      <c r="B4" s="1709"/>
      <c r="C4" s="1709"/>
      <c r="D4" s="1709"/>
    </row>
    <row r="5" spans="1:6" s="472" customFormat="1" ht="42.75" customHeight="1">
      <c r="A5" s="1710"/>
      <c r="B5" s="1711"/>
      <c r="C5" s="1711"/>
      <c r="D5" s="1711"/>
    </row>
    <row r="6" spans="1:6" ht="61.5" customHeight="1">
      <c r="A6" s="1701" t="s">
        <v>183</v>
      </c>
      <c r="B6" s="1704" t="s">
        <v>218</v>
      </c>
      <c r="C6" s="1594" t="s">
        <v>397</v>
      </c>
      <c r="D6" s="1699" t="s">
        <v>1635</v>
      </c>
      <c r="E6" s="1699" t="s">
        <v>1636</v>
      </c>
      <c r="F6" s="1699" t="s">
        <v>1637</v>
      </c>
    </row>
    <row r="7" spans="1:6" ht="32.25" customHeight="1">
      <c r="A7" s="1702"/>
      <c r="B7" s="1705"/>
      <c r="C7" s="1595"/>
      <c r="D7" s="1700"/>
      <c r="E7" s="1700"/>
      <c r="F7" s="1700"/>
    </row>
    <row r="8" spans="1:6" ht="41.25" customHeight="1">
      <c r="A8" s="1702"/>
      <c r="B8" s="1705"/>
      <c r="C8" s="1595"/>
      <c r="D8" s="1053"/>
      <c r="E8" s="1053"/>
      <c r="F8" s="1053"/>
    </row>
    <row r="9" spans="1:6" ht="33" customHeight="1">
      <c r="A9" s="1703"/>
      <c r="B9" s="1706"/>
      <c r="C9" s="1596"/>
      <c r="D9" s="1054"/>
      <c r="E9" s="1054"/>
      <c r="F9" s="1054"/>
    </row>
    <row r="10" spans="1:6" ht="15" hidden="1" customHeight="1">
      <c r="A10" s="475"/>
      <c r="B10" s="476">
        <v>1</v>
      </c>
      <c r="C10" s="476">
        <f>B10+1</f>
        <v>2</v>
      </c>
      <c r="D10" s="476" t="e">
        <f>#REF!+1</f>
        <v>#REF!</v>
      </c>
      <c r="E10" s="476" t="e">
        <f>#REF!+1</f>
        <v>#REF!</v>
      </c>
      <c r="F10" s="476" t="e">
        <f>#REF!+1</f>
        <v>#REF!</v>
      </c>
    </row>
    <row r="11" spans="1:6" ht="18.95" customHeight="1">
      <c r="A11" s="25" t="s">
        <v>222</v>
      </c>
      <c r="B11" s="8" t="s">
        <v>223</v>
      </c>
      <c r="C11" s="335" t="s">
        <v>266</v>
      </c>
      <c r="D11" s="30"/>
      <c r="E11" s="30"/>
      <c r="F11" s="30"/>
    </row>
    <row r="12" spans="1:6" ht="18.95" customHeight="1">
      <c r="A12" s="25"/>
      <c r="B12" s="8" t="s">
        <v>240</v>
      </c>
      <c r="C12" s="335" t="s">
        <v>266</v>
      </c>
      <c r="D12" s="30"/>
      <c r="E12" s="30"/>
      <c r="F12" s="30"/>
    </row>
    <row r="13" spans="1:6" ht="18.95" customHeight="1">
      <c r="A13" s="25" t="s">
        <v>224</v>
      </c>
      <c r="B13" s="26" t="s">
        <v>225</v>
      </c>
      <c r="C13" s="335" t="s">
        <v>266</v>
      </c>
      <c r="D13" s="30"/>
      <c r="E13" s="30"/>
      <c r="F13" s="30"/>
    </row>
    <row r="14" spans="1:6" ht="24.75" customHeight="1">
      <c r="A14" s="25" t="s">
        <v>226</v>
      </c>
      <c r="B14" s="26" t="s">
        <v>227</v>
      </c>
      <c r="C14" s="335" t="s">
        <v>266</v>
      </c>
      <c r="D14" s="30"/>
      <c r="E14" s="30"/>
      <c r="F14" s="30"/>
    </row>
    <row r="15" spans="1:6" ht="35.450000000000003" customHeight="1">
      <c r="A15" s="25"/>
      <c r="B15" s="26" t="s">
        <v>185</v>
      </c>
      <c r="C15" s="335" t="s">
        <v>266</v>
      </c>
      <c r="D15" s="30"/>
      <c r="E15" s="30"/>
      <c r="F15" s="30"/>
    </row>
    <row r="16" spans="1:6" ht="37.5" customHeight="1">
      <c r="A16" s="25" t="s">
        <v>228</v>
      </c>
      <c r="B16" s="8" t="s">
        <v>229</v>
      </c>
      <c r="C16" s="335" t="s">
        <v>266</v>
      </c>
      <c r="D16" s="30"/>
      <c r="E16" s="30"/>
      <c r="F16" s="30"/>
    </row>
    <row r="17" spans="1:6" ht="39.75" customHeight="1">
      <c r="A17" s="25" t="s">
        <v>230</v>
      </c>
      <c r="B17" s="8" t="s">
        <v>231</v>
      </c>
      <c r="C17" s="335" t="s">
        <v>266</v>
      </c>
      <c r="D17" s="30"/>
      <c r="E17" s="30"/>
      <c r="F17" s="30"/>
    </row>
    <row r="18" spans="1:6" ht="18.95" customHeight="1">
      <c r="A18" s="25" t="s">
        <v>232</v>
      </c>
      <c r="B18" s="27" t="s">
        <v>400</v>
      </c>
      <c r="C18" s="335" t="s">
        <v>266</v>
      </c>
      <c r="D18" s="30"/>
      <c r="E18" s="30"/>
      <c r="F18" s="30"/>
    </row>
    <row r="19" spans="1:6" ht="18.95" customHeight="1">
      <c r="A19" s="25" t="s">
        <v>233</v>
      </c>
      <c r="B19" s="27" t="s">
        <v>401</v>
      </c>
      <c r="C19" s="335" t="s">
        <v>266</v>
      </c>
      <c r="D19" s="30"/>
      <c r="E19" s="30"/>
      <c r="F19" s="30"/>
    </row>
    <row r="20" spans="1:6" ht="18.95" customHeight="1">
      <c r="A20" s="25" t="s">
        <v>234</v>
      </c>
      <c r="B20" s="27" t="s">
        <v>235</v>
      </c>
      <c r="C20" s="335" t="s">
        <v>266</v>
      </c>
      <c r="D20" s="30"/>
      <c r="E20" s="30"/>
      <c r="F20" s="30"/>
    </row>
    <row r="21" spans="1:6" ht="18.95" customHeight="1">
      <c r="A21" s="25" t="s">
        <v>236</v>
      </c>
      <c r="B21" s="27" t="s">
        <v>237</v>
      </c>
      <c r="C21" s="335" t="s">
        <v>266</v>
      </c>
      <c r="D21" s="30"/>
      <c r="E21" s="30"/>
      <c r="F21" s="30"/>
    </row>
    <row r="22" spans="1:6" ht="36" customHeight="1">
      <c r="A22" s="25" t="s">
        <v>402</v>
      </c>
      <c r="B22" s="26" t="s">
        <v>403</v>
      </c>
      <c r="C22" s="335" t="s">
        <v>246</v>
      </c>
      <c r="D22" s="30"/>
      <c r="E22" s="30"/>
      <c r="F22" s="30"/>
    </row>
    <row r="23" spans="1:6" ht="18.95" customHeight="1">
      <c r="A23" s="25" t="s">
        <v>238</v>
      </c>
      <c r="B23" s="8" t="s">
        <v>239</v>
      </c>
      <c r="C23" s="335" t="s">
        <v>266</v>
      </c>
      <c r="D23" s="30"/>
      <c r="E23" s="30"/>
      <c r="F23" s="30"/>
    </row>
    <row r="24" spans="1:6" ht="18.95" customHeight="1">
      <c r="A24" s="25"/>
      <c r="B24" s="8" t="s">
        <v>240</v>
      </c>
      <c r="C24" s="335" t="s">
        <v>266</v>
      </c>
      <c r="D24" s="30"/>
      <c r="E24" s="30"/>
      <c r="F24" s="30"/>
    </row>
    <row r="25" spans="1:6" ht="18.95" customHeight="1">
      <c r="A25" s="7" t="s">
        <v>241</v>
      </c>
      <c r="B25" s="8" t="s">
        <v>242</v>
      </c>
      <c r="C25" s="335" t="s">
        <v>266</v>
      </c>
      <c r="D25" s="30"/>
      <c r="E25" s="30"/>
      <c r="F25" s="30"/>
    </row>
    <row r="26" spans="1:6" ht="18.95" hidden="1" customHeight="1">
      <c r="A26" s="7"/>
      <c r="B26" s="26" t="s">
        <v>404</v>
      </c>
      <c r="C26" s="335" t="s">
        <v>266</v>
      </c>
      <c r="D26" s="30"/>
      <c r="E26" s="30"/>
      <c r="F26" s="30"/>
    </row>
    <row r="27" spans="1:6" ht="36.75" customHeight="1">
      <c r="A27" s="7" t="s">
        <v>243</v>
      </c>
      <c r="B27" s="8" t="s">
        <v>244</v>
      </c>
      <c r="C27" s="335" t="s">
        <v>266</v>
      </c>
      <c r="D27" s="30"/>
      <c r="E27" s="30"/>
      <c r="F27" s="30"/>
    </row>
    <row r="28" spans="1:6" ht="18.600000000000001" customHeight="1">
      <c r="A28" s="7"/>
      <c r="B28" s="8" t="s">
        <v>405</v>
      </c>
      <c r="C28" s="335" t="s">
        <v>266</v>
      </c>
      <c r="D28" s="30"/>
      <c r="E28" s="30"/>
      <c r="F28" s="30"/>
    </row>
    <row r="29" spans="1:6" ht="18.95" customHeight="1">
      <c r="A29" s="25"/>
      <c r="B29" s="26" t="s">
        <v>245</v>
      </c>
      <c r="C29" s="335" t="s">
        <v>246</v>
      </c>
      <c r="D29" s="30"/>
      <c r="E29" s="30"/>
      <c r="F29" s="30"/>
    </row>
    <row r="30" spans="1:6" ht="35.450000000000003" customHeight="1">
      <c r="A30" s="25" t="s">
        <v>406</v>
      </c>
      <c r="B30" s="27" t="s">
        <v>407</v>
      </c>
      <c r="C30" s="335" t="s">
        <v>266</v>
      </c>
      <c r="D30" s="30"/>
      <c r="E30" s="30"/>
      <c r="F30" s="30"/>
    </row>
    <row r="31" spans="1:6" ht="48" customHeight="1">
      <c r="A31" s="7" t="s">
        <v>247</v>
      </c>
      <c r="B31" s="8" t="s">
        <v>248</v>
      </c>
      <c r="C31" s="335" t="s">
        <v>266</v>
      </c>
      <c r="D31" s="30"/>
      <c r="E31" s="30"/>
      <c r="F31" s="30"/>
    </row>
    <row r="32" spans="1:6" ht="18.95" customHeight="1">
      <c r="A32" s="7" t="s">
        <v>249</v>
      </c>
      <c r="B32" s="26" t="s">
        <v>250</v>
      </c>
      <c r="C32" s="335" t="s">
        <v>266</v>
      </c>
      <c r="D32" s="30"/>
      <c r="E32" s="30"/>
      <c r="F32" s="30"/>
    </row>
    <row r="33" spans="1:6" ht="18.95" customHeight="1">
      <c r="A33" s="7" t="s">
        <v>251</v>
      </c>
      <c r="B33" s="26" t="s">
        <v>252</v>
      </c>
      <c r="C33" s="335" t="s">
        <v>266</v>
      </c>
      <c r="D33" s="30"/>
      <c r="E33" s="30"/>
      <c r="F33" s="30"/>
    </row>
    <row r="34" spans="1:6" ht="39" customHeight="1">
      <c r="A34" s="7" t="s">
        <v>253</v>
      </c>
      <c r="B34" s="26" t="s">
        <v>254</v>
      </c>
      <c r="C34" s="335" t="s">
        <v>266</v>
      </c>
      <c r="D34" s="30"/>
      <c r="E34" s="30"/>
      <c r="F34" s="30"/>
    </row>
    <row r="35" spans="1:6" ht="18.95" customHeight="1">
      <c r="A35" s="7" t="s">
        <v>255</v>
      </c>
      <c r="B35" s="26" t="s">
        <v>256</v>
      </c>
      <c r="C35" s="335" t="s">
        <v>266</v>
      </c>
      <c r="D35" s="30"/>
      <c r="E35" s="30"/>
      <c r="F35" s="30"/>
    </row>
    <row r="36" spans="1:6" ht="18.95" customHeight="1">
      <c r="A36" s="7"/>
      <c r="B36" s="26" t="s">
        <v>257</v>
      </c>
      <c r="C36" s="335" t="s">
        <v>266</v>
      </c>
      <c r="D36" s="30"/>
      <c r="E36" s="30"/>
      <c r="F36" s="30"/>
    </row>
    <row r="37" spans="1:6" ht="18.95" customHeight="1">
      <c r="A37" s="7"/>
      <c r="B37" s="26" t="s">
        <v>258</v>
      </c>
      <c r="C37" s="335" t="s">
        <v>266</v>
      </c>
      <c r="D37" s="30"/>
      <c r="E37" s="30"/>
      <c r="F37" s="30"/>
    </row>
    <row r="38" spans="1:6" ht="18.95" customHeight="1">
      <c r="A38" s="7" t="s">
        <v>259</v>
      </c>
      <c r="B38" s="26" t="s">
        <v>260</v>
      </c>
      <c r="C38" s="335" t="s">
        <v>266</v>
      </c>
      <c r="D38" s="30"/>
      <c r="E38" s="30"/>
      <c r="F38" s="30"/>
    </row>
    <row r="39" spans="1:6" ht="18.95" customHeight="1">
      <c r="A39" s="7"/>
      <c r="B39" s="26" t="s">
        <v>257</v>
      </c>
      <c r="C39" s="335" t="s">
        <v>266</v>
      </c>
      <c r="D39" s="30"/>
      <c r="E39" s="30"/>
      <c r="F39" s="30"/>
    </row>
    <row r="40" spans="1:6" ht="18.95" customHeight="1">
      <c r="A40" s="7"/>
      <c r="B40" s="26" t="s">
        <v>258</v>
      </c>
      <c r="C40" s="335" t="s">
        <v>266</v>
      </c>
      <c r="D40" s="30"/>
      <c r="E40" s="30"/>
      <c r="F40" s="30"/>
    </row>
    <row r="41" spans="1:6" ht="18.95" customHeight="1">
      <c r="A41" s="7" t="s">
        <v>261</v>
      </c>
      <c r="B41" s="26" t="s">
        <v>262</v>
      </c>
      <c r="C41" s="335" t="s">
        <v>266</v>
      </c>
      <c r="D41" s="30"/>
      <c r="E41" s="30"/>
      <c r="F41" s="30"/>
    </row>
    <row r="42" spans="1:6" ht="18.95" customHeight="1">
      <c r="A42" s="7"/>
      <c r="B42" s="26" t="s">
        <v>257</v>
      </c>
      <c r="C42" s="335" t="s">
        <v>266</v>
      </c>
      <c r="D42" s="30"/>
      <c r="E42" s="30"/>
      <c r="F42" s="30"/>
    </row>
    <row r="43" spans="1:6" ht="18.95" customHeight="1">
      <c r="A43" s="7"/>
      <c r="B43" s="26" t="s">
        <v>258</v>
      </c>
      <c r="C43" s="335" t="s">
        <v>266</v>
      </c>
      <c r="D43" s="30"/>
      <c r="E43" s="30"/>
      <c r="F43" s="30"/>
    </row>
    <row r="44" spans="1:6" ht="18.95" hidden="1" customHeight="1">
      <c r="A44" s="7"/>
      <c r="B44" s="8" t="s">
        <v>263</v>
      </c>
      <c r="C44" s="335"/>
      <c r="D44" s="30"/>
      <c r="E44" s="30"/>
      <c r="F44" s="30"/>
    </row>
    <row r="45" spans="1:6" ht="35.450000000000003" hidden="1" customHeight="1">
      <c r="A45" s="7" t="s">
        <v>264</v>
      </c>
      <c r="B45" s="28" t="s">
        <v>265</v>
      </c>
      <c r="C45" s="335" t="s">
        <v>266</v>
      </c>
      <c r="D45" s="30"/>
      <c r="E45" s="30"/>
      <c r="F45" s="30"/>
    </row>
    <row r="46" spans="1:6" ht="38.450000000000003" hidden="1" customHeight="1">
      <c r="A46" s="7" t="s">
        <v>267</v>
      </c>
      <c r="B46" s="28" t="s">
        <v>250</v>
      </c>
      <c r="C46" s="335" t="s">
        <v>266</v>
      </c>
      <c r="D46" s="30"/>
      <c r="E46" s="30"/>
      <c r="F46" s="30"/>
    </row>
    <row r="47" spans="1:6" ht="19.899999999999999" hidden="1" customHeight="1">
      <c r="A47" s="7" t="s">
        <v>268</v>
      </c>
      <c r="B47" s="28" t="s">
        <v>252</v>
      </c>
      <c r="C47" s="335" t="s">
        <v>266</v>
      </c>
      <c r="D47" s="30"/>
      <c r="E47" s="30"/>
      <c r="F47" s="30"/>
    </row>
    <row r="48" spans="1:6" ht="39.6" hidden="1" customHeight="1">
      <c r="A48" s="7" t="s">
        <v>269</v>
      </c>
      <c r="B48" s="28" t="s">
        <v>254</v>
      </c>
      <c r="C48" s="335" t="s">
        <v>266</v>
      </c>
      <c r="D48" s="30"/>
      <c r="E48" s="30"/>
      <c r="F48" s="30"/>
    </row>
    <row r="49" spans="1:6" ht="21.6" hidden="1" customHeight="1">
      <c r="A49" s="7" t="s">
        <v>270</v>
      </c>
      <c r="B49" s="28" t="s">
        <v>256</v>
      </c>
      <c r="C49" s="335" t="s">
        <v>266</v>
      </c>
      <c r="D49" s="30"/>
      <c r="E49" s="30"/>
      <c r="F49" s="30"/>
    </row>
    <row r="50" spans="1:6" ht="21.6" hidden="1" customHeight="1">
      <c r="A50" s="7"/>
      <c r="B50" s="28" t="s">
        <v>257</v>
      </c>
      <c r="C50" s="335" t="s">
        <v>266</v>
      </c>
      <c r="D50" s="30"/>
      <c r="E50" s="30"/>
      <c r="F50" s="30"/>
    </row>
    <row r="51" spans="1:6" ht="21.6" hidden="1" customHeight="1">
      <c r="A51" s="7"/>
      <c r="B51" s="28" t="s">
        <v>258</v>
      </c>
      <c r="C51" s="335" t="s">
        <v>266</v>
      </c>
      <c r="D51" s="30"/>
      <c r="E51" s="30"/>
      <c r="F51" s="30"/>
    </row>
    <row r="52" spans="1:6" ht="21.6" hidden="1" customHeight="1">
      <c r="A52" s="7" t="s">
        <v>271</v>
      </c>
      <c r="B52" s="28" t="s">
        <v>260</v>
      </c>
      <c r="C52" s="335" t="s">
        <v>266</v>
      </c>
      <c r="D52" s="30"/>
      <c r="E52" s="30"/>
      <c r="F52" s="30"/>
    </row>
    <row r="53" spans="1:6" ht="21.6" hidden="1" customHeight="1">
      <c r="A53" s="7"/>
      <c r="B53" s="28" t="s">
        <v>257</v>
      </c>
      <c r="C53" s="335" t="s">
        <v>266</v>
      </c>
      <c r="D53" s="30"/>
      <c r="E53" s="30"/>
      <c r="F53" s="30"/>
    </row>
    <row r="54" spans="1:6" ht="21.6" hidden="1" customHeight="1">
      <c r="A54" s="7"/>
      <c r="B54" s="28" t="s">
        <v>258</v>
      </c>
      <c r="C54" s="335" t="s">
        <v>266</v>
      </c>
      <c r="D54" s="30"/>
      <c r="E54" s="30"/>
      <c r="F54" s="30"/>
    </row>
    <row r="55" spans="1:6" ht="21.6" hidden="1" customHeight="1">
      <c r="A55" s="7" t="s">
        <v>272</v>
      </c>
      <c r="B55" s="28" t="s">
        <v>262</v>
      </c>
      <c r="C55" s="335" t="s">
        <v>266</v>
      </c>
      <c r="D55" s="30"/>
      <c r="E55" s="30"/>
      <c r="F55" s="30"/>
    </row>
    <row r="56" spans="1:6" ht="21.6" hidden="1" customHeight="1">
      <c r="A56" s="7"/>
      <c r="B56" s="28" t="s">
        <v>257</v>
      </c>
      <c r="C56" s="335"/>
      <c r="D56" s="30"/>
      <c r="E56" s="30"/>
      <c r="F56" s="30"/>
    </row>
    <row r="57" spans="1:6" ht="21.6" hidden="1" customHeight="1">
      <c r="A57" s="7"/>
      <c r="B57" s="28" t="s">
        <v>258</v>
      </c>
      <c r="C57" s="335"/>
      <c r="D57" s="30"/>
      <c r="E57" s="30"/>
      <c r="F57" s="30"/>
    </row>
    <row r="58" spans="1:6" ht="25.15" customHeight="1" collapsed="1">
      <c r="A58" s="7" t="s">
        <v>264</v>
      </c>
      <c r="B58" s="29" t="s">
        <v>274</v>
      </c>
      <c r="C58" s="9" t="s">
        <v>275</v>
      </c>
      <c r="D58" s="30"/>
      <c r="E58" s="30"/>
      <c r="F58" s="30"/>
    </row>
    <row r="59" spans="1:6" ht="38.25" customHeight="1">
      <c r="A59" s="7" t="s">
        <v>273</v>
      </c>
      <c r="B59" s="29" t="s">
        <v>277</v>
      </c>
      <c r="C59" s="335" t="s">
        <v>278</v>
      </c>
      <c r="D59" s="30"/>
      <c r="E59" s="30"/>
      <c r="F59" s="30"/>
    </row>
    <row r="60" spans="1:6" ht="38.25" customHeight="1">
      <c r="A60" s="7" t="s">
        <v>279</v>
      </c>
      <c r="B60" s="8" t="s">
        <v>187</v>
      </c>
      <c r="C60" s="9" t="s">
        <v>266</v>
      </c>
      <c r="D60" s="30"/>
      <c r="E60" s="30"/>
      <c r="F60" s="30"/>
    </row>
    <row r="61" spans="1:6" ht="38.25" customHeight="1">
      <c r="A61" s="7" t="s">
        <v>282</v>
      </c>
      <c r="B61" s="8" t="s">
        <v>408</v>
      </c>
      <c r="C61" s="9" t="s">
        <v>266</v>
      </c>
      <c r="D61" s="30"/>
      <c r="E61" s="30"/>
      <c r="F61" s="30"/>
    </row>
    <row r="62" spans="1:6" ht="38.25" customHeight="1">
      <c r="A62" s="7" t="s">
        <v>285</v>
      </c>
      <c r="B62" s="8" t="s">
        <v>280</v>
      </c>
      <c r="C62" s="9" t="s">
        <v>281</v>
      </c>
      <c r="D62" s="30"/>
      <c r="E62" s="30"/>
      <c r="F62" s="30"/>
    </row>
    <row r="63" spans="1:6" ht="38.25" customHeight="1">
      <c r="A63" s="7" t="s">
        <v>287</v>
      </c>
      <c r="B63" s="8" t="s">
        <v>283</v>
      </c>
      <c r="C63" s="9" t="s">
        <v>284</v>
      </c>
      <c r="D63" s="30"/>
      <c r="E63" s="30"/>
      <c r="F63" s="30"/>
    </row>
    <row r="64" spans="1:6" ht="38.25" customHeight="1">
      <c r="A64" s="7" t="s">
        <v>409</v>
      </c>
      <c r="B64" s="8" t="s">
        <v>286</v>
      </c>
      <c r="C64" s="9" t="s">
        <v>281</v>
      </c>
      <c r="D64" s="30"/>
      <c r="E64" s="30"/>
      <c r="F64" s="30"/>
    </row>
    <row r="65" spans="1:6" ht="25.5" customHeight="1">
      <c r="A65" s="7"/>
      <c r="B65" s="8" t="s">
        <v>410</v>
      </c>
      <c r="C65" s="9"/>
      <c r="D65" s="30"/>
      <c r="E65" s="30"/>
      <c r="F65" s="30"/>
    </row>
    <row r="66" spans="1:6" ht="37.5">
      <c r="A66" s="7" t="s">
        <v>411</v>
      </c>
      <c r="B66" s="8" t="s">
        <v>288</v>
      </c>
      <c r="C66" s="9" t="s">
        <v>289</v>
      </c>
      <c r="D66" s="30"/>
      <c r="E66" s="30"/>
      <c r="F66" s="30"/>
    </row>
  </sheetData>
  <sheetProtection formatCells="0" formatColumns="0" formatRows="0"/>
  <mergeCells count="11">
    <mergeCell ref="A1:D1"/>
    <mergeCell ref="A2:D2"/>
    <mergeCell ref="A3:D3"/>
    <mergeCell ref="A4:D4"/>
    <mergeCell ref="A5:D5"/>
    <mergeCell ref="E6:E7"/>
    <mergeCell ref="F6:F7"/>
    <mergeCell ref="A6:A9"/>
    <mergeCell ref="B6:B9"/>
    <mergeCell ref="C6:C9"/>
    <mergeCell ref="D6:D7"/>
  </mergeCells>
  <pageMargins left="0.59055118110236227" right="0.59055118110236227" top="0" bottom="0.39370078740157483" header="0" footer="0"/>
  <pageSetup paperSize="9" scale="5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5">
    <tabColor theme="2" tint="-0.499984740745262"/>
  </sheetPr>
  <dimension ref="A1:N75"/>
  <sheetViews>
    <sheetView zoomScale="82" zoomScaleNormal="82" workbookViewId="0">
      <pane xSplit="2" ySplit="8" topLeftCell="C22" activePane="bottomRight" state="frozen"/>
      <selection sqref="A1:J15"/>
      <selection pane="topRight" sqref="A1:J15"/>
      <selection pane="bottomLeft" sqref="A1:J15"/>
      <selection pane="bottomRight" sqref="A1:J15"/>
    </sheetView>
  </sheetViews>
  <sheetFormatPr defaultColWidth="10.28515625" defaultRowHeight="15.75" outlineLevelRow="1"/>
  <cols>
    <col min="1" max="1" width="10.28515625" style="187"/>
    <col min="2" max="2" width="62.42578125" style="479" customWidth="1"/>
    <col min="3" max="3" width="18.28515625" style="187" bestFit="1" customWidth="1"/>
    <col min="4" max="4" width="16.140625" style="187" customWidth="1"/>
    <col min="5" max="6" width="16.28515625" style="187" bestFit="1" customWidth="1"/>
    <col min="7" max="7" width="18.28515625" style="187" bestFit="1" customWidth="1"/>
    <col min="8" max="10" width="16.28515625" style="14" bestFit="1" customWidth="1"/>
    <col min="11" max="11" width="18.28515625" style="14" bestFit="1" customWidth="1"/>
    <col min="12" max="14" width="16.28515625" style="14" bestFit="1" customWidth="1"/>
    <col min="15" max="16384" width="10.28515625" style="14"/>
  </cols>
  <sheetData>
    <row r="1" spans="1:14" ht="18.75">
      <c r="A1" s="1549" t="s">
        <v>642</v>
      </c>
      <c r="B1" s="1549"/>
      <c r="C1" s="1549"/>
      <c r="D1" s="1549"/>
      <c r="E1" s="1549"/>
      <c r="F1" s="1549"/>
      <c r="G1" s="1549"/>
      <c r="H1" s="1549"/>
      <c r="I1" s="1549"/>
      <c r="J1" s="1549"/>
      <c r="K1" s="1549"/>
      <c r="L1" s="1549"/>
      <c r="M1" s="1549"/>
      <c r="N1" s="1549"/>
    </row>
    <row r="2" spans="1:14">
      <c r="A2" s="1712"/>
      <c r="B2" s="1712"/>
      <c r="C2" s="1712"/>
      <c r="D2" s="1712"/>
      <c r="E2" s="1712"/>
      <c r="F2" s="1712"/>
      <c r="G2" s="1712"/>
      <c r="H2" s="1712"/>
      <c r="I2" s="1712"/>
      <c r="J2" s="1712"/>
      <c r="K2" s="1712"/>
      <c r="L2" s="1712"/>
      <c r="M2" s="1712"/>
      <c r="N2" s="1712"/>
    </row>
    <row r="3" spans="1:14">
      <c r="A3" s="1712"/>
      <c r="B3" s="1712"/>
      <c r="C3" s="1712"/>
      <c r="D3" s="1712"/>
      <c r="E3" s="1712"/>
      <c r="F3" s="1712"/>
      <c r="G3" s="1712"/>
      <c r="H3" s="1712"/>
      <c r="I3" s="1712"/>
      <c r="J3" s="1712"/>
      <c r="K3" s="1712"/>
      <c r="L3" s="1712"/>
      <c r="M3" s="1712"/>
      <c r="N3" s="1712"/>
    </row>
    <row r="4" spans="1:14">
      <c r="A4" s="1712"/>
      <c r="B4" s="1712"/>
      <c r="C4" s="1712"/>
      <c r="D4" s="1712"/>
      <c r="E4" s="1712"/>
      <c r="F4" s="1712"/>
      <c r="G4" s="1712"/>
      <c r="H4" s="1712"/>
      <c r="I4" s="1712"/>
      <c r="J4" s="1712"/>
      <c r="K4" s="1712"/>
      <c r="L4" s="1712"/>
      <c r="M4" s="1712"/>
      <c r="N4" s="1712"/>
    </row>
    <row r="5" spans="1:14">
      <c r="A5" s="480"/>
      <c r="B5" s="481" t="s">
        <v>1016</v>
      </c>
      <c r="C5" s="15"/>
      <c r="D5" s="15"/>
      <c r="E5" s="15"/>
      <c r="F5" s="15"/>
      <c r="G5" s="15"/>
      <c r="H5" s="16"/>
      <c r="I5" s="16"/>
      <c r="J5" s="16"/>
      <c r="K5" s="16" t="s">
        <v>588</v>
      </c>
      <c r="L5" s="16"/>
      <c r="M5" s="16"/>
      <c r="N5" s="16"/>
    </row>
    <row r="6" spans="1:14" s="158" customFormat="1">
      <c r="A6" s="1650" t="s">
        <v>643</v>
      </c>
      <c r="B6" s="1650" t="s">
        <v>467</v>
      </c>
      <c r="C6" s="1713" t="s">
        <v>1635</v>
      </c>
      <c r="D6" s="1713"/>
      <c r="E6" s="1713"/>
      <c r="F6" s="1713"/>
      <c r="G6" s="1713" t="s">
        <v>1636</v>
      </c>
      <c r="H6" s="1713"/>
      <c r="I6" s="1713"/>
      <c r="J6" s="1713"/>
      <c r="K6" s="1713" t="s">
        <v>1637</v>
      </c>
      <c r="L6" s="1713"/>
      <c r="M6" s="1713"/>
      <c r="N6" s="1713"/>
    </row>
    <row r="7" spans="1:14" s="158" customFormat="1">
      <c r="A7" s="1650"/>
      <c r="B7" s="1650"/>
      <c r="C7" s="1714" t="s">
        <v>1018</v>
      </c>
      <c r="D7" s="1715" t="s">
        <v>1017</v>
      </c>
      <c r="E7" s="1716"/>
      <c r="F7" s="1716"/>
      <c r="G7" s="1714" t="str">
        <f>C7</f>
        <v>орг</v>
      </c>
      <c r="H7" s="1716" t="str">
        <f>D7</f>
        <v>ДТР</v>
      </c>
      <c r="I7" s="1716"/>
      <c r="J7" s="1716"/>
      <c r="K7" s="1714" t="str">
        <f>G7</f>
        <v>орг</v>
      </c>
      <c r="L7" s="1716" t="str">
        <f>H7</f>
        <v>ДТР</v>
      </c>
      <c r="M7" s="1716"/>
      <c r="N7" s="1716"/>
    </row>
    <row r="8" spans="1:14" s="158" customFormat="1">
      <c r="A8" s="1650"/>
      <c r="B8" s="1650"/>
      <c r="C8" s="1714"/>
      <c r="D8" s="482" t="s">
        <v>520</v>
      </c>
      <c r="E8" s="483" t="s">
        <v>398</v>
      </c>
      <c r="F8" s="483" t="s">
        <v>399</v>
      </c>
      <c r="G8" s="1714"/>
      <c r="H8" s="482" t="s">
        <v>520</v>
      </c>
      <c r="I8" s="483" t="str">
        <f>E8</f>
        <v>01.01-30.06</v>
      </c>
      <c r="J8" s="483" t="str">
        <f>F8</f>
        <v>01.07-31.12</v>
      </c>
      <c r="K8" s="1714"/>
      <c r="L8" s="482" t="s">
        <v>520</v>
      </c>
      <c r="M8" s="483" t="str">
        <f>I8</f>
        <v>01.01-30.06</v>
      </c>
      <c r="N8" s="483" t="str">
        <f>J8</f>
        <v>01.07-31.12</v>
      </c>
    </row>
    <row r="9" spans="1:14">
      <c r="A9" s="484" t="s">
        <v>611</v>
      </c>
      <c r="B9" s="485" t="s">
        <v>612</v>
      </c>
      <c r="C9" s="477"/>
      <c r="D9" s="477"/>
      <c r="E9" s="477"/>
      <c r="F9" s="477"/>
      <c r="G9" s="477"/>
      <c r="H9" s="477"/>
      <c r="I9" s="477"/>
      <c r="J9" s="477"/>
      <c r="K9" s="477"/>
      <c r="L9" s="477"/>
      <c r="M9" s="477"/>
      <c r="N9" s="477"/>
    </row>
    <row r="10" spans="1:14" s="3" customFormat="1">
      <c r="A10" s="431" t="s">
        <v>222</v>
      </c>
      <c r="B10" s="486" t="s">
        <v>613</v>
      </c>
      <c r="C10" s="322"/>
      <c r="D10" s="322"/>
      <c r="E10" s="322"/>
      <c r="F10" s="322"/>
      <c r="G10" s="322"/>
      <c r="H10" s="322"/>
      <c r="I10" s="322"/>
      <c r="J10" s="322"/>
      <c r="K10" s="322"/>
      <c r="L10" s="322"/>
      <c r="M10" s="322"/>
      <c r="N10" s="322"/>
    </row>
    <row r="11" spans="1:14" s="159" customFormat="1" outlineLevel="1">
      <c r="A11" s="431" t="s">
        <v>224</v>
      </c>
      <c r="B11" s="487" t="s">
        <v>614</v>
      </c>
      <c r="C11" s="160"/>
      <c r="D11" s="160"/>
      <c r="E11" s="160"/>
      <c r="F11" s="160"/>
      <c r="G11" s="160"/>
      <c r="H11" s="160"/>
      <c r="I11" s="160"/>
      <c r="J11" s="160"/>
      <c r="K11" s="160"/>
      <c r="L11" s="160"/>
      <c r="M11" s="160"/>
      <c r="N11" s="160"/>
    </row>
    <row r="12" spans="1:14" outlineLevel="1">
      <c r="A12" s="488" t="s">
        <v>615</v>
      </c>
      <c r="B12" s="489" t="s">
        <v>616</v>
      </c>
      <c r="C12" s="156"/>
      <c r="D12" s="156"/>
      <c r="E12" s="156"/>
      <c r="F12" s="156"/>
      <c r="G12" s="156"/>
      <c r="H12" s="156"/>
      <c r="I12" s="156"/>
      <c r="J12" s="156"/>
      <c r="K12" s="156"/>
      <c r="L12" s="156"/>
      <c r="M12" s="156"/>
      <c r="N12" s="156"/>
    </row>
    <row r="13" spans="1:14" ht="30" outlineLevel="1">
      <c r="A13" s="488" t="s">
        <v>617</v>
      </c>
      <c r="B13" s="489" t="s">
        <v>618</v>
      </c>
      <c r="C13" s="156"/>
      <c r="D13" s="156"/>
      <c r="E13" s="156"/>
      <c r="F13" s="156"/>
      <c r="G13" s="156"/>
      <c r="H13" s="156"/>
      <c r="I13" s="156"/>
      <c r="J13" s="156"/>
      <c r="K13" s="156"/>
      <c r="L13" s="156"/>
      <c r="M13" s="156"/>
      <c r="N13" s="156"/>
    </row>
    <row r="14" spans="1:14" ht="45" outlineLevel="1">
      <c r="A14" s="488" t="s">
        <v>619</v>
      </c>
      <c r="B14" s="489" t="s">
        <v>620</v>
      </c>
      <c r="C14" s="156"/>
      <c r="D14" s="156"/>
      <c r="E14" s="156"/>
      <c r="F14" s="156"/>
      <c r="G14" s="156"/>
      <c r="H14" s="156"/>
      <c r="I14" s="156"/>
      <c r="J14" s="156"/>
      <c r="K14" s="156"/>
      <c r="L14" s="156"/>
      <c r="M14" s="156"/>
      <c r="N14" s="156"/>
    </row>
    <row r="15" spans="1:14" outlineLevel="1">
      <c r="A15" s="488" t="s">
        <v>621</v>
      </c>
      <c r="B15" s="490" t="s">
        <v>622</v>
      </c>
      <c r="C15" s="156"/>
      <c r="D15" s="156"/>
      <c r="E15" s="156"/>
      <c r="F15" s="156"/>
      <c r="G15" s="156"/>
      <c r="H15" s="156"/>
      <c r="I15" s="156"/>
      <c r="J15" s="156"/>
      <c r="K15" s="156"/>
      <c r="L15" s="156"/>
      <c r="M15" s="156"/>
      <c r="N15" s="156"/>
    </row>
    <row r="16" spans="1:14" outlineLevel="1">
      <c r="A16" s="488" t="s">
        <v>623</v>
      </c>
      <c r="B16" s="489" t="s">
        <v>624</v>
      </c>
      <c r="C16" s="156"/>
      <c r="D16" s="156"/>
      <c r="E16" s="156"/>
      <c r="F16" s="156"/>
      <c r="G16" s="156"/>
      <c r="H16" s="156"/>
      <c r="I16" s="156"/>
      <c r="J16" s="156"/>
      <c r="K16" s="156"/>
      <c r="L16" s="156"/>
      <c r="M16" s="156"/>
      <c r="N16" s="156"/>
    </row>
    <row r="17" spans="1:14" s="159" customFormat="1" outlineLevel="1">
      <c r="A17" s="488" t="s">
        <v>625</v>
      </c>
      <c r="B17" s="489" t="s">
        <v>626</v>
      </c>
      <c r="C17" s="156"/>
      <c r="D17" s="156"/>
      <c r="E17" s="156"/>
      <c r="F17" s="156"/>
      <c r="G17" s="156"/>
      <c r="H17" s="156"/>
      <c r="I17" s="156"/>
      <c r="J17" s="156"/>
      <c r="K17" s="156"/>
      <c r="L17" s="156"/>
      <c r="M17" s="156"/>
      <c r="N17" s="156"/>
    </row>
    <row r="18" spans="1:14" ht="30" outlineLevel="1">
      <c r="A18" s="488" t="s">
        <v>627</v>
      </c>
      <c r="B18" s="490" t="s">
        <v>628</v>
      </c>
      <c r="C18" s="156"/>
      <c r="D18" s="156"/>
      <c r="E18" s="156"/>
      <c r="F18" s="156"/>
      <c r="G18" s="156"/>
      <c r="H18" s="156"/>
      <c r="I18" s="156"/>
      <c r="J18" s="156"/>
      <c r="K18" s="156"/>
      <c r="L18" s="156"/>
      <c r="M18" s="156"/>
      <c r="N18" s="156"/>
    </row>
    <row r="19" spans="1:14" outlineLevel="1">
      <c r="A19" s="488" t="s">
        <v>629</v>
      </c>
      <c r="B19" s="490" t="s">
        <v>630</v>
      </c>
      <c r="C19" s="156"/>
      <c r="D19" s="156"/>
      <c r="E19" s="156"/>
      <c r="F19" s="156"/>
      <c r="G19" s="156"/>
      <c r="H19" s="156"/>
      <c r="I19" s="156"/>
      <c r="J19" s="156"/>
      <c r="K19" s="156"/>
      <c r="L19" s="156"/>
      <c r="M19" s="156"/>
      <c r="N19" s="156"/>
    </row>
    <row r="20" spans="1:14" outlineLevel="1">
      <c r="A20" s="488" t="s">
        <v>631</v>
      </c>
      <c r="B20" s="490" t="s">
        <v>632</v>
      </c>
      <c r="C20" s="156"/>
      <c r="D20" s="156"/>
      <c r="E20" s="156"/>
      <c r="F20" s="156"/>
      <c r="G20" s="156"/>
      <c r="H20" s="156"/>
      <c r="I20" s="156"/>
      <c r="J20" s="156"/>
      <c r="K20" s="156"/>
      <c r="L20" s="156"/>
      <c r="M20" s="156"/>
      <c r="N20" s="156"/>
    </row>
    <row r="21" spans="1:14" outlineLevel="1">
      <c r="A21" s="488" t="s">
        <v>226</v>
      </c>
      <c r="B21" s="487" t="s">
        <v>633</v>
      </c>
      <c r="C21" s="160"/>
      <c r="D21" s="160"/>
      <c r="E21" s="160"/>
      <c r="F21" s="160"/>
      <c r="G21" s="160"/>
      <c r="H21" s="160"/>
      <c r="I21" s="160"/>
      <c r="J21" s="160"/>
      <c r="K21" s="160"/>
      <c r="L21" s="160"/>
      <c r="M21" s="160"/>
      <c r="N21" s="160"/>
    </row>
    <row r="22" spans="1:14" outlineLevel="1">
      <c r="A22" s="488" t="s">
        <v>634</v>
      </c>
      <c r="B22" s="487" t="s">
        <v>635</v>
      </c>
      <c r="C22" s="160"/>
      <c r="D22" s="160"/>
      <c r="E22" s="160"/>
      <c r="F22" s="160"/>
      <c r="G22" s="160"/>
      <c r="H22" s="160"/>
      <c r="I22" s="160"/>
      <c r="J22" s="160"/>
      <c r="K22" s="160"/>
      <c r="L22" s="160"/>
      <c r="M22" s="160"/>
      <c r="N22" s="160"/>
    </row>
    <row r="23" spans="1:14" outlineLevel="1">
      <c r="A23" s="488" t="s">
        <v>636</v>
      </c>
      <c r="B23" s="487" t="s">
        <v>637</v>
      </c>
      <c r="C23" s="160"/>
      <c r="D23" s="160"/>
      <c r="E23" s="160"/>
      <c r="F23" s="160"/>
      <c r="G23" s="160"/>
      <c r="H23" s="160"/>
      <c r="I23" s="160"/>
      <c r="J23" s="160"/>
      <c r="K23" s="160"/>
      <c r="L23" s="160"/>
      <c r="M23" s="160"/>
      <c r="N23" s="160"/>
    </row>
    <row r="24" spans="1:14" s="3" customFormat="1">
      <c r="A24" s="488" t="s">
        <v>228</v>
      </c>
      <c r="B24" s="486" t="s">
        <v>638</v>
      </c>
      <c r="C24" s="156"/>
      <c r="D24" s="156"/>
      <c r="E24" s="156"/>
      <c r="F24" s="156"/>
      <c r="G24" s="161"/>
      <c r="H24" s="161"/>
      <c r="I24" s="156"/>
      <c r="J24" s="156"/>
      <c r="K24" s="161"/>
      <c r="L24" s="156"/>
      <c r="M24" s="156"/>
      <c r="N24" s="156"/>
    </row>
    <row r="25" spans="1:14" s="3" customFormat="1">
      <c r="A25" s="488" t="s">
        <v>230</v>
      </c>
      <c r="B25" s="486" t="s">
        <v>639</v>
      </c>
      <c r="C25" s="156"/>
      <c r="D25" s="156"/>
      <c r="E25" s="156"/>
      <c r="F25" s="156"/>
      <c r="G25" s="156"/>
      <c r="H25" s="156"/>
      <c r="I25" s="156"/>
      <c r="J25" s="156"/>
      <c r="K25" s="156"/>
      <c r="L25" s="156"/>
      <c r="M25" s="156"/>
      <c r="N25" s="156"/>
    </row>
    <row r="26" spans="1:14" s="3" customFormat="1">
      <c r="A26" s="488" t="s">
        <v>238</v>
      </c>
      <c r="B26" s="486" t="s">
        <v>640</v>
      </c>
      <c r="C26" s="156"/>
      <c r="D26" s="156"/>
      <c r="E26" s="156"/>
      <c r="F26" s="156"/>
      <c r="G26" s="161"/>
      <c r="H26" s="161"/>
      <c r="I26" s="156"/>
      <c r="J26" s="156"/>
      <c r="K26" s="161"/>
      <c r="L26" s="156"/>
      <c r="M26" s="156"/>
      <c r="N26" s="156"/>
    </row>
    <row r="27" spans="1:14">
      <c r="A27" s="484" t="s">
        <v>650</v>
      </c>
      <c r="B27" s="485" t="s">
        <v>644</v>
      </c>
      <c r="C27" s="477"/>
      <c r="D27" s="477"/>
      <c r="E27" s="477"/>
      <c r="F27" s="477"/>
      <c r="G27" s="477"/>
      <c r="H27" s="477"/>
      <c r="I27" s="477"/>
      <c r="J27" s="477"/>
      <c r="K27" s="477"/>
      <c r="L27" s="477"/>
      <c r="M27" s="477"/>
      <c r="N27" s="477"/>
    </row>
    <row r="28" spans="1:14">
      <c r="A28" s="484" t="s">
        <v>651</v>
      </c>
      <c r="B28" s="485" t="s">
        <v>645</v>
      </c>
      <c r="C28" s="477"/>
      <c r="D28" s="477"/>
      <c r="E28" s="477"/>
      <c r="F28" s="477"/>
      <c r="G28" s="477"/>
      <c r="H28" s="477"/>
      <c r="I28" s="477"/>
      <c r="J28" s="477"/>
      <c r="K28" s="477"/>
      <c r="L28" s="477"/>
      <c r="M28" s="477"/>
      <c r="N28" s="477"/>
    </row>
    <row r="29" spans="1:14" ht="31.5">
      <c r="A29" s="429" t="s">
        <v>241</v>
      </c>
      <c r="B29" s="491" t="s">
        <v>652</v>
      </c>
      <c r="C29" s="160"/>
      <c r="D29" s="160"/>
      <c r="E29" s="160"/>
      <c r="F29" s="160"/>
      <c r="G29" s="160"/>
      <c r="H29" s="160"/>
      <c r="I29" s="160"/>
      <c r="J29" s="160"/>
      <c r="K29" s="160"/>
      <c r="L29" s="160"/>
      <c r="M29" s="160"/>
      <c r="N29" s="160"/>
    </row>
    <row r="30" spans="1:14">
      <c r="A30" s="488" t="s">
        <v>516</v>
      </c>
      <c r="B30" s="486" t="s">
        <v>653</v>
      </c>
      <c r="C30" s="156"/>
      <c r="D30" s="156"/>
      <c r="E30" s="156"/>
      <c r="F30" s="156"/>
      <c r="G30" s="156"/>
      <c r="H30" s="156"/>
      <c r="I30" s="156"/>
      <c r="J30" s="156"/>
      <c r="K30" s="156"/>
      <c r="L30" s="156"/>
      <c r="M30" s="156"/>
      <c r="N30" s="156"/>
    </row>
    <row r="31" spans="1:14">
      <c r="A31" s="488" t="s">
        <v>517</v>
      </c>
      <c r="B31" s="486" t="s">
        <v>654</v>
      </c>
      <c r="C31" s="156"/>
      <c r="D31" s="156"/>
      <c r="E31" s="156"/>
      <c r="F31" s="156"/>
      <c r="G31" s="156"/>
      <c r="H31" s="156"/>
      <c r="I31" s="156"/>
      <c r="J31" s="156"/>
      <c r="K31" s="156"/>
      <c r="L31" s="156"/>
      <c r="M31" s="156"/>
      <c r="N31" s="156"/>
    </row>
    <row r="32" spans="1:14">
      <c r="A32" s="488" t="s">
        <v>655</v>
      </c>
      <c r="B32" s="486" t="s">
        <v>656</v>
      </c>
      <c r="C32" s="156"/>
      <c r="D32" s="156"/>
      <c r="E32" s="156"/>
      <c r="F32" s="156"/>
      <c r="G32" s="156"/>
      <c r="H32" s="156"/>
      <c r="I32" s="156"/>
      <c r="J32" s="156"/>
      <c r="K32" s="156"/>
      <c r="L32" s="156"/>
      <c r="M32" s="156"/>
      <c r="N32" s="156"/>
    </row>
    <row r="33" spans="1:14">
      <c r="A33" s="488" t="s">
        <v>657</v>
      </c>
      <c r="B33" s="486" t="s">
        <v>658</v>
      </c>
      <c r="C33" s="156"/>
      <c r="D33" s="156"/>
      <c r="E33" s="156"/>
      <c r="F33" s="156"/>
      <c r="G33" s="156"/>
      <c r="H33" s="156"/>
      <c r="I33" s="156"/>
      <c r="J33" s="156"/>
      <c r="K33" s="156"/>
      <c r="L33" s="156"/>
      <c r="M33" s="156"/>
      <c r="N33" s="156"/>
    </row>
    <row r="34" spans="1:14">
      <c r="A34" s="488" t="s">
        <v>659</v>
      </c>
      <c r="B34" s="486" t="s">
        <v>660</v>
      </c>
      <c r="C34" s="156"/>
      <c r="D34" s="156"/>
      <c r="E34" s="156"/>
      <c r="F34" s="156"/>
      <c r="G34" s="156"/>
      <c r="H34" s="156"/>
      <c r="I34" s="156"/>
      <c r="J34" s="156"/>
      <c r="K34" s="156"/>
      <c r="L34" s="156"/>
      <c r="M34" s="156"/>
      <c r="N34" s="156"/>
    </row>
    <row r="35" spans="1:14">
      <c r="A35" s="492" t="s">
        <v>207</v>
      </c>
      <c r="B35" s="491" t="s">
        <v>507</v>
      </c>
      <c r="C35" s="160"/>
      <c r="D35" s="160"/>
      <c r="E35" s="160"/>
      <c r="F35" s="160"/>
      <c r="G35" s="160"/>
      <c r="H35" s="160"/>
      <c r="I35" s="160"/>
      <c r="J35" s="160"/>
      <c r="K35" s="160"/>
      <c r="L35" s="160"/>
      <c r="M35" s="160"/>
      <c r="N35" s="160"/>
    </row>
    <row r="36" spans="1:14">
      <c r="A36" s="488" t="s">
        <v>196</v>
      </c>
      <c r="B36" s="486" t="s">
        <v>661</v>
      </c>
      <c r="C36" s="156"/>
      <c r="D36" s="156"/>
      <c r="E36" s="156"/>
      <c r="F36" s="156"/>
      <c r="G36" s="161"/>
      <c r="H36" s="161"/>
      <c r="I36" s="156"/>
      <c r="J36" s="156"/>
      <c r="K36" s="161"/>
      <c r="L36" s="156"/>
      <c r="M36" s="156"/>
      <c r="N36" s="156"/>
    </row>
    <row r="37" spans="1:14">
      <c r="A37" s="488" t="s">
        <v>197</v>
      </c>
      <c r="B37" s="486" t="s">
        <v>662</v>
      </c>
      <c r="C37" s="156"/>
      <c r="D37" s="156"/>
      <c r="E37" s="156"/>
      <c r="F37" s="156"/>
      <c r="G37" s="161"/>
      <c r="H37" s="161"/>
      <c r="I37" s="156"/>
      <c r="J37" s="156"/>
      <c r="K37" s="161"/>
      <c r="L37" s="156"/>
      <c r="M37" s="156"/>
      <c r="N37" s="156"/>
    </row>
    <row r="38" spans="1:14" s="159" customFormat="1">
      <c r="A38" s="488" t="s">
        <v>198</v>
      </c>
      <c r="B38" s="486" t="s">
        <v>663</v>
      </c>
      <c r="C38" s="156"/>
      <c r="D38" s="156"/>
      <c r="E38" s="156"/>
      <c r="F38" s="156"/>
      <c r="G38" s="161"/>
      <c r="H38" s="161"/>
      <c r="I38" s="156"/>
      <c r="J38" s="156"/>
      <c r="K38" s="161"/>
      <c r="L38" s="156"/>
      <c r="M38" s="156"/>
      <c r="N38" s="156"/>
    </row>
    <row r="39" spans="1:14">
      <c r="A39" s="488" t="s">
        <v>208</v>
      </c>
      <c r="B39" s="486" t="s">
        <v>664</v>
      </c>
      <c r="C39" s="156"/>
      <c r="D39" s="156"/>
      <c r="E39" s="156"/>
      <c r="F39" s="156"/>
      <c r="G39" s="161"/>
      <c r="H39" s="161"/>
      <c r="I39" s="156"/>
      <c r="J39" s="156"/>
      <c r="K39" s="161"/>
      <c r="L39" s="156"/>
      <c r="M39" s="156"/>
      <c r="N39" s="156"/>
    </row>
    <row r="40" spans="1:14">
      <c r="A40" s="488" t="s">
        <v>209</v>
      </c>
      <c r="B40" s="486" t="s">
        <v>665</v>
      </c>
      <c r="C40" s="156"/>
      <c r="D40" s="156"/>
      <c r="E40" s="156"/>
      <c r="F40" s="156"/>
      <c r="G40" s="161"/>
      <c r="H40" s="161"/>
      <c r="I40" s="156"/>
      <c r="J40" s="156"/>
      <c r="K40" s="161"/>
      <c r="L40" s="156"/>
      <c r="M40" s="156"/>
      <c r="N40" s="156"/>
    </row>
    <row r="41" spans="1:14">
      <c r="A41" s="488" t="s">
        <v>210</v>
      </c>
      <c r="B41" s="486" t="s">
        <v>666</v>
      </c>
      <c r="C41" s="156"/>
      <c r="D41" s="156"/>
      <c r="E41" s="156"/>
      <c r="F41" s="156"/>
      <c r="G41" s="161"/>
      <c r="H41" s="161"/>
      <c r="I41" s="156"/>
      <c r="J41" s="156"/>
      <c r="K41" s="161"/>
      <c r="L41" s="156"/>
      <c r="M41" s="156"/>
      <c r="N41" s="156"/>
    </row>
    <row r="42" spans="1:14">
      <c r="A42" s="488" t="s">
        <v>211</v>
      </c>
      <c r="B42" s="486" t="s">
        <v>667</v>
      </c>
      <c r="C42" s="156"/>
      <c r="D42" s="156"/>
      <c r="E42" s="156"/>
      <c r="F42" s="156"/>
      <c r="G42" s="161"/>
      <c r="H42" s="161"/>
      <c r="I42" s="156"/>
      <c r="J42" s="156"/>
      <c r="K42" s="161"/>
      <c r="L42" s="156"/>
      <c r="M42" s="156"/>
      <c r="N42" s="156"/>
    </row>
    <row r="43" spans="1:14">
      <c r="A43" s="492" t="s">
        <v>212</v>
      </c>
      <c r="B43" s="491" t="s">
        <v>668</v>
      </c>
      <c r="C43" s="160"/>
      <c r="D43" s="160"/>
      <c r="E43" s="160"/>
      <c r="F43" s="160"/>
      <c r="G43" s="160"/>
      <c r="H43" s="160"/>
      <c r="I43" s="160"/>
      <c r="J43" s="160"/>
      <c r="K43" s="160"/>
      <c r="L43" s="160"/>
      <c r="M43" s="160"/>
      <c r="N43" s="160"/>
    </row>
    <row r="44" spans="1:14" ht="31.5">
      <c r="A44" s="492" t="s">
        <v>324</v>
      </c>
      <c r="B44" s="491" t="s">
        <v>669</v>
      </c>
      <c r="C44" s="160"/>
      <c r="D44" s="160"/>
      <c r="E44" s="160"/>
      <c r="F44" s="160"/>
      <c r="G44" s="161"/>
      <c r="H44" s="161"/>
      <c r="I44" s="160"/>
      <c r="J44" s="160"/>
      <c r="K44" s="161"/>
      <c r="L44" s="160"/>
      <c r="M44" s="160"/>
      <c r="N44" s="160"/>
    </row>
    <row r="45" spans="1:14">
      <c r="A45" s="492" t="s">
        <v>317</v>
      </c>
      <c r="B45" s="491" t="s">
        <v>670</v>
      </c>
      <c r="C45" s="160"/>
      <c r="D45" s="160"/>
      <c r="E45" s="160"/>
      <c r="F45" s="160"/>
      <c r="G45" s="161"/>
      <c r="H45" s="161"/>
      <c r="I45" s="160"/>
      <c r="J45" s="160"/>
      <c r="K45" s="161"/>
      <c r="L45" s="160"/>
      <c r="M45" s="160"/>
      <c r="N45" s="160"/>
    </row>
    <row r="46" spans="1:14">
      <c r="A46" s="492" t="s">
        <v>328</v>
      </c>
      <c r="B46" s="491" t="s">
        <v>671</v>
      </c>
      <c r="C46" s="160"/>
      <c r="D46" s="160"/>
      <c r="E46" s="160"/>
      <c r="F46" s="160"/>
      <c r="G46" s="160"/>
      <c r="H46" s="160"/>
      <c r="I46" s="160"/>
      <c r="J46" s="160"/>
      <c r="K46" s="160"/>
      <c r="L46" s="160"/>
      <c r="M46" s="160"/>
      <c r="N46" s="160"/>
    </row>
    <row r="47" spans="1:14" ht="31.5">
      <c r="A47" s="492" t="s">
        <v>330</v>
      </c>
      <c r="B47" s="491" t="s">
        <v>672</v>
      </c>
      <c r="C47" s="160"/>
      <c r="D47" s="160"/>
      <c r="E47" s="160"/>
      <c r="F47" s="160"/>
      <c r="G47" s="161"/>
      <c r="H47" s="161"/>
      <c r="I47" s="160"/>
      <c r="J47" s="160"/>
      <c r="K47" s="161"/>
      <c r="L47" s="160"/>
      <c r="M47" s="160"/>
      <c r="N47" s="160"/>
    </row>
    <row r="48" spans="1:14">
      <c r="A48" s="492" t="s">
        <v>338</v>
      </c>
      <c r="B48" s="491" t="s">
        <v>673</v>
      </c>
      <c r="C48" s="160"/>
      <c r="D48" s="160"/>
      <c r="E48" s="160"/>
      <c r="F48" s="160"/>
      <c r="G48" s="161"/>
      <c r="H48" s="161"/>
      <c r="I48" s="160"/>
      <c r="J48" s="160"/>
      <c r="K48" s="161"/>
      <c r="L48" s="160"/>
      <c r="M48" s="160"/>
      <c r="N48" s="160"/>
    </row>
    <row r="49" spans="1:14">
      <c r="A49" s="484" t="s">
        <v>674</v>
      </c>
      <c r="B49" s="485" t="s">
        <v>646</v>
      </c>
      <c r="C49" s="477"/>
      <c r="D49" s="477"/>
      <c r="E49" s="477"/>
      <c r="F49" s="477"/>
      <c r="G49" s="477"/>
      <c r="H49" s="477"/>
      <c r="I49" s="477"/>
      <c r="J49" s="477"/>
      <c r="K49" s="477"/>
      <c r="L49" s="477"/>
      <c r="M49" s="477"/>
      <c r="N49" s="477"/>
    </row>
    <row r="50" spans="1:14">
      <c r="A50" s="484" t="s">
        <v>675</v>
      </c>
      <c r="B50" s="485" t="s">
        <v>647</v>
      </c>
      <c r="C50" s="477"/>
      <c r="D50" s="477"/>
      <c r="E50" s="477"/>
      <c r="F50" s="477"/>
      <c r="G50" s="477"/>
      <c r="H50" s="477"/>
      <c r="I50" s="477"/>
      <c r="J50" s="477"/>
      <c r="K50" s="477"/>
      <c r="L50" s="477"/>
      <c r="M50" s="477"/>
      <c r="N50" s="477"/>
    </row>
    <row r="51" spans="1:14">
      <c r="A51" s="488" t="s">
        <v>387</v>
      </c>
      <c r="B51" s="486" t="s">
        <v>676</v>
      </c>
      <c r="C51" s="156"/>
      <c r="D51" s="156"/>
      <c r="E51" s="156"/>
      <c r="F51" s="156"/>
      <c r="G51" s="161"/>
      <c r="H51" s="161"/>
      <c r="I51" s="156"/>
      <c r="J51" s="156"/>
      <c r="K51" s="161"/>
      <c r="L51" s="156"/>
      <c r="M51" s="156"/>
      <c r="N51" s="156"/>
    </row>
    <row r="52" spans="1:14" ht="31.5">
      <c r="A52" s="488" t="s">
        <v>311</v>
      </c>
      <c r="B52" s="486" t="s">
        <v>677</v>
      </c>
      <c r="C52" s="156"/>
      <c r="D52" s="156"/>
      <c r="E52" s="156"/>
      <c r="F52" s="156"/>
      <c r="G52" s="161"/>
      <c r="H52" s="161"/>
      <c r="I52" s="156"/>
      <c r="J52" s="156"/>
      <c r="K52" s="161"/>
      <c r="L52" s="156"/>
      <c r="M52" s="156"/>
      <c r="N52" s="156"/>
    </row>
    <row r="53" spans="1:14">
      <c r="A53" s="488" t="s">
        <v>207</v>
      </c>
      <c r="B53" s="486" t="s">
        <v>678</v>
      </c>
      <c r="C53" s="156"/>
      <c r="D53" s="156"/>
      <c r="E53" s="156"/>
      <c r="F53" s="156"/>
      <c r="G53" s="161"/>
      <c r="H53" s="161"/>
      <c r="I53" s="156"/>
      <c r="J53" s="156"/>
      <c r="K53" s="161"/>
      <c r="L53" s="156"/>
      <c r="M53" s="156"/>
      <c r="N53" s="156"/>
    </row>
    <row r="54" spans="1:14">
      <c r="A54" s="488" t="s">
        <v>212</v>
      </c>
      <c r="B54" s="486" t="s">
        <v>679</v>
      </c>
      <c r="C54" s="156"/>
      <c r="D54" s="156"/>
      <c r="E54" s="156"/>
      <c r="F54" s="156"/>
      <c r="G54" s="156"/>
      <c r="H54" s="156"/>
      <c r="I54" s="156"/>
      <c r="J54" s="156"/>
      <c r="K54" s="156"/>
      <c r="L54" s="156"/>
      <c r="M54" s="156"/>
      <c r="N54" s="156"/>
    </row>
    <row r="55" spans="1:14">
      <c r="A55" s="484" t="s">
        <v>680</v>
      </c>
      <c r="B55" s="485" t="s">
        <v>648</v>
      </c>
      <c r="C55" s="477"/>
      <c r="D55" s="477"/>
      <c r="E55" s="477"/>
      <c r="F55" s="477"/>
      <c r="G55" s="161"/>
      <c r="H55" s="161"/>
      <c r="I55" s="156"/>
      <c r="J55" s="156"/>
      <c r="K55" s="161"/>
      <c r="L55" s="477"/>
      <c r="M55" s="156"/>
      <c r="N55" s="156"/>
    </row>
    <row r="56" spans="1:14">
      <c r="A56" s="484" t="s">
        <v>681</v>
      </c>
      <c r="B56" s="485" t="s">
        <v>682</v>
      </c>
      <c r="C56" s="477"/>
      <c r="D56" s="477"/>
      <c r="E56" s="477"/>
      <c r="F56" s="477"/>
      <c r="G56" s="477"/>
      <c r="H56" s="477"/>
      <c r="I56" s="477"/>
      <c r="J56" s="477"/>
      <c r="K56" s="477"/>
      <c r="L56" s="477"/>
      <c r="M56" s="477"/>
      <c r="N56" s="477"/>
    </row>
    <row r="57" spans="1:14" hidden="1" outlineLevel="1">
      <c r="A57" s="488"/>
      <c r="B57" s="486"/>
      <c r="C57" s="156"/>
      <c r="D57" s="156"/>
      <c r="E57" s="156"/>
      <c r="F57" s="156"/>
      <c r="G57" s="161"/>
      <c r="H57" s="161"/>
      <c r="I57" s="156"/>
      <c r="J57" s="156"/>
      <c r="K57" s="161"/>
      <c r="L57" s="156"/>
      <c r="M57" s="156"/>
      <c r="N57" s="156"/>
    </row>
    <row r="58" spans="1:14" hidden="1" outlineLevel="1">
      <c r="A58" s="488"/>
      <c r="B58" s="486"/>
      <c r="C58" s="156"/>
      <c r="D58" s="156"/>
      <c r="E58" s="156"/>
      <c r="F58" s="156"/>
      <c r="G58" s="161"/>
      <c r="H58" s="161"/>
      <c r="I58" s="156"/>
      <c r="J58" s="156"/>
      <c r="K58" s="161"/>
      <c r="L58" s="156"/>
      <c r="M58" s="156"/>
      <c r="N58" s="156"/>
    </row>
    <row r="59" spans="1:14" hidden="1" outlineLevel="1">
      <c r="A59" s="488"/>
      <c r="B59" s="486"/>
      <c r="C59" s="156"/>
      <c r="D59" s="156"/>
      <c r="E59" s="156"/>
      <c r="F59" s="156"/>
      <c r="G59" s="161"/>
      <c r="H59" s="161"/>
      <c r="I59" s="156"/>
      <c r="J59" s="156"/>
      <c r="K59" s="161"/>
      <c r="L59" s="156"/>
      <c r="M59" s="156"/>
      <c r="N59" s="156"/>
    </row>
    <row r="60" spans="1:14" hidden="1" outlineLevel="1">
      <c r="A60" s="488"/>
      <c r="B60" s="486"/>
      <c r="C60" s="156"/>
      <c r="D60" s="156"/>
      <c r="E60" s="156"/>
      <c r="F60" s="156"/>
      <c r="G60" s="161"/>
      <c r="H60" s="161"/>
      <c r="I60" s="156"/>
      <c r="J60" s="156"/>
      <c r="K60" s="161"/>
      <c r="L60" s="156"/>
      <c r="M60" s="156"/>
      <c r="N60" s="156"/>
    </row>
    <row r="61" spans="1:14" hidden="1" outlineLevel="1">
      <c r="A61" s="488"/>
      <c r="B61" s="486"/>
      <c r="C61" s="156"/>
      <c r="D61" s="156"/>
      <c r="E61" s="156"/>
      <c r="F61" s="156"/>
      <c r="G61" s="161"/>
      <c r="H61" s="161"/>
      <c r="I61" s="156"/>
      <c r="J61" s="156"/>
      <c r="K61" s="161"/>
      <c r="L61" s="156"/>
      <c r="M61" s="156"/>
      <c r="N61" s="156"/>
    </row>
    <row r="62" spans="1:14" hidden="1" outlineLevel="1">
      <c r="A62" s="488"/>
      <c r="B62" s="486"/>
      <c r="C62" s="156"/>
      <c r="D62" s="156"/>
      <c r="E62" s="156"/>
      <c r="F62" s="156"/>
      <c r="G62" s="161"/>
      <c r="H62" s="161"/>
      <c r="I62" s="156"/>
      <c r="J62" s="156"/>
      <c r="K62" s="161"/>
      <c r="L62" s="156"/>
      <c r="M62" s="156"/>
      <c r="N62" s="156"/>
    </row>
    <row r="63" spans="1:14" hidden="1" outlineLevel="1">
      <c r="A63" s="488"/>
      <c r="B63" s="486"/>
      <c r="C63" s="156"/>
      <c r="D63" s="156"/>
      <c r="E63" s="156"/>
      <c r="F63" s="156"/>
      <c r="G63" s="161"/>
      <c r="H63" s="161"/>
      <c r="I63" s="156"/>
      <c r="J63" s="156"/>
      <c r="K63" s="161"/>
      <c r="L63" s="156"/>
      <c r="M63" s="156"/>
      <c r="N63" s="156"/>
    </row>
    <row r="64" spans="1:14" hidden="1" outlineLevel="1">
      <c r="A64" s="488"/>
      <c r="B64" s="486"/>
      <c r="C64" s="156"/>
      <c r="D64" s="156"/>
      <c r="E64" s="156"/>
      <c r="F64" s="156"/>
      <c r="G64" s="161"/>
      <c r="H64" s="161"/>
      <c r="I64" s="156"/>
      <c r="J64" s="156"/>
      <c r="K64" s="161"/>
      <c r="L64" s="156"/>
      <c r="M64" s="156"/>
      <c r="N64" s="156"/>
    </row>
    <row r="65" spans="1:14" hidden="1" outlineLevel="1">
      <c r="A65" s="488"/>
      <c r="B65" s="486"/>
      <c r="C65" s="156"/>
      <c r="D65" s="156"/>
      <c r="E65" s="156"/>
      <c r="F65" s="156"/>
      <c r="G65" s="161"/>
      <c r="H65" s="161"/>
      <c r="I65" s="156"/>
      <c r="J65" s="156"/>
      <c r="K65" s="161"/>
      <c r="L65" s="156"/>
      <c r="M65" s="156"/>
      <c r="N65" s="156"/>
    </row>
    <row r="66" spans="1:14" hidden="1" outlineLevel="1">
      <c r="A66" s="488"/>
      <c r="B66" s="486"/>
      <c r="C66" s="156"/>
      <c r="D66" s="156"/>
      <c r="E66" s="156"/>
      <c r="F66" s="156"/>
      <c r="G66" s="161"/>
      <c r="H66" s="161"/>
      <c r="I66" s="156"/>
      <c r="J66" s="156"/>
      <c r="K66" s="161"/>
      <c r="L66" s="156"/>
      <c r="M66" s="156"/>
      <c r="N66" s="156"/>
    </row>
    <row r="67" spans="1:14" hidden="1" outlineLevel="1">
      <c r="A67" s="488"/>
      <c r="B67" s="486"/>
      <c r="C67" s="156"/>
      <c r="D67" s="156"/>
      <c r="E67" s="156"/>
      <c r="F67" s="156"/>
      <c r="G67" s="161"/>
      <c r="H67" s="161"/>
      <c r="I67" s="156"/>
      <c r="J67" s="156"/>
      <c r="K67" s="161"/>
      <c r="L67" s="156"/>
      <c r="M67" s="156"/>
      <c r="N67" s="156"/>
    </row>
    <row r="68" spans="1:14" hidden="1" outlineLevel="1">
      <c r="A68" s="488"/>
      <c r="B68" s="486"/>
      <c r="C68" s="156"/>
      <c r="D68" s="156"/>
      <c r="E68" s="156"/>
      <c r="F68" s="156"/>
      <c r="G68" s="161"/>
      <c r="H68" s="161"/>
      <c r="I68" s="156"/>
      <c r="J68" s="156"/>
      <c r="K68" s="161"/>
      <c r="L68" s="156"/>
      <c r="M68" s="156"/>
      <c r="N68" s="156"/>
    </row>
    <row r="69" spans="1:14" hidden="1" outlineLevel="1">
      <c r="A69" s="488"/>
      <c r="B69" s="486"/>
      <c r="C69" s="156"/>
      <c r="D69" s="156"/>
      <c r="E69" s="156"/>
      <c r="F69" s="156"/>
      <c r="G69" s="161"/>
      <c r="H69" s="161"/>
      <c r="I69" s="156"/>
      <c r="J69" s="156"/>
      <c r="K69" s="161"/>
      <c r="L69" s="156"/>
      <c r="M69" s="156"/>
      <c r="N69" s="156"/>
    </row>
    <row r="70" spans="1:14" hidden="1" outlineLevel="1">
      <c r="A70" s="488"/>
      <c r="B70" s="486"/>
      <c r="C70" s="156"/>
      <c r="D70" s="156"/>
      <c r="E70" s="156"/>
      <c r="F70" s="156"/>
      <c r="G70" s="161"/>
      <c r="H70" s="161"/>
      <c r="I70" s="156"/>
      <c r="J70" s="156"/>
      <c r="K70" s="161"/>
      <c r="L70" s="156"/>
      <c r="M70" s="156"/>
      <c r="N70" s="156"/>
    </row>
    <row r="71" spans="1:14" hidden="1" outlineLevel="1">
      <c r="A71" s="488"/>
      <c r="B71" s="486"/>
      <c r="C71" s="156"/>
      <c r="D71" s="156"/>
      <c r="E71" s="156"/>
      <c r="F71" s="156"/>
      <c r="G71" s="161"/>
      <c r="H71" s="161"/>
      <c r="I71" s="156"/>
      <c r="J71" s="156"/>
      <c r="K71" s="161"/>
      <c r="L71" s="156"/>
      <c r="M71" s="156"/>
      <c r="N71" s="156"/>
    </row>
    <row r="72" spans="1:14" collapsed="1">
      <c r="A72" s="484" t="s">
        <v>680</v>
      </c>
      <c r="B72" s="485" t="s">
        <v>649</v>
      </c>
      <c r="C72" s="477"/>
      <c r="D72" s="477"/>
      <c r="E72" s="477"/>
      <c r="F72" s="477"/>
      <c r="G72" s="477"/>
      <c r="H72" s="477"/>
      <c r="I72" s="477"/>
      <c r="J72" s="477"/>
      <c r="K72" s="477"/>
      <c r="L72" s="477"/>
      <c r="M72" s="477"/>
      <c r="N72" s="477"/>
    </row>
    <row r="73" spans="1:14">
      <c r="A73" s="484" t="s">
        <v>681</v>
      </c>
      <c r="B73" s="485" t="s">
        <v>683</v>
      </c>
      <c r="C73" s="477"/>
      <c r="D73" s="477"/>
      <c r="E73" s="477"/>
      <c r="F73" s="477"/>
      <c r="G73" s="161"/>
      <c r="H73" s="161"/>
      <c r="I73" s="477"/>
      <c r="J73" s="477"/>
      <c r="K73" s="161"/>
      <c r="L73" s="477"/>
      <c r="M73" s="477"/>
      <c r="N73" s="477"/>
    </row>
    <row r="74" spans="1:14">
      <c r="A74" s="484" t="s">
        <v>684</v>
      </c>
      <c r="B74" s="485" t="s">
        <v>685</v>
      </c>
      <c r="C74" s="477"/>
      <c r="D74" s="477"/>
      <c r="E74" s="477"/>
      <c r="F74" s="477"/>
      <c r="G74" s="477"/>
      <c r="H74" s="477"/>
      <c r="I74" s="477"/>
      <c r="J74" s="477"/>
      <c r="K74" s="477"/>
      <c r="L74" s="477"/>
      <c r="M74" s="477"/>
      <c r="N74" s="477"/>
    </row>
    <row r="75" spans="1:14">
      <c r="A75" s="488"/>
      <c r="B75" s="486" t="s">
        <v>686</v>
      </c>
      <c r="C75" s="478"/>
      <c r="D75" s="478"/>
      <c r="E75" s="478"/>
      <c r="F75" s="478"/>
      <c r="G75" s="478"/>
      <c r="H75" s="478"/>
      <c r="I75" s="478"/>
      <c r="J75" s="478"/>
      <c r="K75" s="478"/>
      <c r="L75" s="478"/>
      <c r="M75" s="478"/>
      <c r="N75" s="478"/>
    </row>
  </sheetData>
  <sheetProtection formatCells="0" formatColumns="0" formatRows="0"/>
  <mergeCells count="15">
    <mergeCell ref="A1:N1"/>
    <mergeCell ref="A2:N2"/>
    <mergeCell ref="A3:N3"/>
    <mergeCell ref="A4:N4"/>
    <mergeCell ref="A6:A8"/>
    <mergeCell ref="B6:B8"/>
    <mergeCell ref="C6:F6"/>
    <mergeCell ref="G6:J6"/>
    <mergeCell ref="K6:N6"/>
    <mergeCell ref="C7:C8"/>
    <mergeCell ref="D7:F7"/>
    <mergeCell ref="G7:G8"/>
    <mergeCell ref="H7:J7"/>
    <mergeCell ref="K7:K8"/>
    <mergeCell ref="L7:N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1">
    <tabColor theme="2" tint="-0.499984740745262"/>
  </sheetPr>
  <dimension ref="A1:J45"/>
  <sheetViews>
    <sheetView topLeftCell="A16" workbookViewId="0">
      <selection sqref="A1:J15"/>
    </sheetView>
  </sheetViews>
  <sheetFormatPr defaultColWidth="10.28515625" defaultRowHeight="15.75"/>
  <cols>
    <col min="1" max="1" width="10.28515625" style="237"/>
    <col min="2" max="2" width="15.28515625" style="237" customWidth="1"/>
    <col min="3" max="3" width="2.7109375" style="237" customWidth="1"/>
    <col min="4" max="4" width="29.42578125" style="237" customWidth="1"/>
    <col min="5" max="5" width="12.7109375" style="237" customWidth="1"/>
    <col min="6" max="6" width="10.28515625" style="237" customWidth="1"/>
    <col min="7" max="8" width="10.28515625" style="237"/>
    <col min="9" max="11" width="10.28515625" style="237" customWidth="1"/>
    <col min="12" max="12" width="11.28515625" style="237" customWidth="1"/>
    <col min="13" max="16384" width="10.28515625" style="237"/>
  </cols>
  <sheetData>
    <row r="1" spans="1:10">
      <c r="A1" s="242" t="s">
        <v>956</v>
      </c>
      <c r="B1" s="242"/>
      <c r="C1" s="242"/>
      <c r="D1" s="242"/>
      <c r="E1" s="243"/>
      <c r="F1" s="243"/>
      <c r="G1" s="243"/>
      <c r="H1" s="243"/>
    </row>
    <row r="2" spans="1:10" ht="16.5" thickBot="1">
      <c r="A2" s="244"/>
      <c r="B2" s="244"/>
      <c r="C2" s="245"/>
      <c r="D2" s="245"/>
      <c r="E2" s="245"/>
      <c r="F2" s="245"/>
      <c r="G2" s="245"/>
      <c r="H2" s="245"/>
    </row>
    <row r="3" spans="1:10" ht="16.5" customHeight="1" thickBot="1">
      <c r="A3" s="246" t="s">
        <v>957</v>
      </c>
      <c r="B3" s="247"/>
      <c r="C3" s="248"/>
      <c r="D3" s="249"/>
      <c r="E3" s="249"/>
      <c r="F3" s="249"/>
      <c r="G3" s="249"/>
      <c r="H3" s="250"/>
    </row>
    <row r="4" spans="1:10" ht="16.5" customHeight="1" thickBot="1">
      <c r="A4" s="246" t="s">
        <v>958</v>
      </c>
      <c r="B4" s="247"/>
      <c r="C4" s="251"/>
      <c r="D4" s="252"/>
      <c r="E4" s="252"/>
      <c r="F4" s="252"/>
      <c r="G4" s="252"/>
      <c r="H4" s="253"/>
    </row>
    <row r="5" spans="1:10" ht="16.5" thickBot="1">
      <c r="A5" s="246" t="s">
        <v>18</v>
      </c>
      <c r="B5" s="247"/>
      <c r="C5" s="248"/>
      <c r="D5" s="249"/>
      <c r="E5" s="249"/>
      <c r="F5" s="249"/>
      <c r="G5" s="249"/>
      <c r="H5" s="250"/>
    </row>
    <row r="6" spans="1:10" ht="16.5" customHeight="1" thickBot="1">
      <c r="A6" s="246" t="s">
        <v>959</v>
      </c>
      <c r="B6" s="247"/>
      <c r="C6" s="254"/>
      <c r="D6" s="255"/>
      <c r="E6" s="255"/>
      <c r="F6" s="255"/>
      <c r="G6" s="255"/>
      <c r="H6" s="256"/>
    </row>
    <row r="7" spans="1:10" ht="16.5" customHeight="1" thickBot="1">
      <c r="A7" s="246" t="s">
        <v>960</v>
      </c>
      <c r="B7" s="247"/>
      <c r="C7" s="254"/>
      <c r="D7" s="255"/>
      <c r="E7" s="255"/>
      <c r="F7" s="255"/>
      <c r="G7" s="255"/>
      <c r="H7" s="256"/>
    </row>
    <row r="8" spans="1:10" ht="16.5" customHeight="1" thickBot="1">
      <c r="A8" s="246" t="s">
        <v>958</v>
      </c>
      <c r="B8" s="247"/>
      <c r="C8" s="254"/>
      <c r="D8" s="255"/>
      <c r="E8" s="255"/>
      <c r="F8" s="255"/>
      <c r="G8" s="255"/>
      <c r="H8" s="256"/>
    </row>
    <row r="9" spans="1:10" ht="16.5" customHeight="1" thickBot="1">
      <c r="A9" s="246" t="s">
        <v>963</v>
      </c>
      <c r="B9" s="247"/>
      <c r="C9" s="254" t="s">
        <v>964</v>
      </c>
      <c r="D9" s="561">
        <v>42736</v>
      </c>
      <c r="E9" s="255" t="s">
        <v>965</v>
      </c>
      <c r="F9" s="257">
        <v>43830</v>
      </c>
      <c r="G9" s="255"/>
      <c r="H9" s="256"/>
    </row>
    <row r="10" spans="1:10">
      <c r="A10" s="243"/>
      <c r="B10" s="258"/>
      <c r="C10" s="258"/>
      <c r="D10" s="258"/>
      <c r="E10" s="258"/>
      <c r="F10" s="258"/>
      <c r="G10" s="258"/>
      <c r="H10" s="258"/>
    </row>
    <row r="11" spans="1:10">
      <c r="A11" s="242" t="s">
        <v>966</v>
      </c>
      <c r="B11" s="242"/>
      <c r="C11" s="242"/>
      <c r="D11" s="242"/>
      <c r="E11" s="242"/>
      <c r="F11" s="242"/>
      <c r="G11" s="242"/>
      <c r="H11" s="243"/>
    </row>
    <row r="12" spans="1:10">
      <c r="A12" s="243"/>
      <c r="B12" s="259"/>
      <c r="C12" s="260"/>
      <c r="D12" s="260"/>
      <c r="E12" s="260"/>
      <c r="F12" s="260"/>
      <c r="G12" s="259"/>
      <c r="H12" s="259"/>
    </row>
    <row r="13" spans="1:10" ht="16.5" customHeight="1">
      <c r="A13" s="261" t="s">
        <v>183</v>
      </c>
      <c r="B13" s="262" t="s">
        <v>968</v>
      </c>
      <c r="C13" s="263"/>
      <c r="D13" s="263"/>
      <c r="E13" s="264"/>
      <c r="F13" s="265" t="s">
        <v>969</v>
      </c>
      <c r="G13" s="266"/>
      <c r="H13" s="267"/>
    </row>
    <row r="14" spans="1:10">
      <c r="A14" s="268"/>
      <c r="B14" s="269"/>
      <c r="C14" s="270"/>
      <c r="D14" s="270"/>
      <c r="E14" s="271"/>
      <c r="F14" s="272">
        <v>2016</v>
      </c>
      <c r="G14" s="272">
        <v>2017</v>
      </c>
      <c r="H14" s="272">
        <v>2018</v>
      </c>
    </row>
    <row r="15" spans="1:10" ht="16.5" customHeight="1">
      <c r="A15" s="272">
        <v>1</v>
      </c>
      <c r="B15" s="273" t="s">
        <v>970</v>
      </c>
      <c r="C15" s="274"/>
      <c r="D15" s="274"/>
      <c r="E15" s="275"/>
      <c r="F15" s="236"/>
      <c r="G15" s="236"/>
      <c r="H15" s="236"/>
      <c r="J15" s="238" t="s">
        <v>532</v>
      </c>
    </row>
    <row r="16" spans="1:10" ht="16.5" customHeight="1">
      <c r="A16" s="272">
        <v>2</v>
      </c>
      <c r="B16" s="273" t="s">
        <v>971</v>
      </c>
      <c r="C16" s="274"/>
      <c r="D16" s="274"/>
      <c r="E16" s="275"/>
      <c r="F16" s="562"/>
      <c r="G16" s="236"/>
      <c r="H16" s="236"/>
    </row>
    <row r="17" spans="1:8" ht="16.5" customHeight="1" thickBot="1">
      <c r="A17" s="272">
        <v>3</v>
      </c>
      <c r="B17" s="276" t="s">
        <v>972</v>
      </c>
      <c r="C17" s="277"/>
      <c r="D17" s="277"/>
      <c r="E17" s="278"/>
      <c r="F17" s="562"/>
      <c r="G17" s="236"/>
      <c r="H17" s="236"/>
    </row>
    <row r="18" spans="1:8" ht="16.5" thickBot="1">
      <c r="A18" s="279"/>
      <c r="B18" s="246" t="s">
        <v>520</v>
      </c>
      <c r="C18" s="280"/>
      <c r="D18" s="280"/>
      <c r="E18" s="247"/>
      <c r="F18" s="241"/>
      <c r="G18" s="241"/>
      <c r="H18" s="241"/>
    </row>
    <row r="19" spans="1:8">
      <c r="A19" s="281"/>
      <c r="B19" s="282"/>
      <c r="C19" s="282"/>
      <c r="D19" s="282"/>
      <c r="E19" s="282"/>
      <c r="F19" s="282"/>
      <c r="G19" s="282"/>
      <c r="H19" s="282"/>
    </row>
    <row r="20" spans="1:8">
      <c r="A20" s="242" t="s">
        <v>973</v>
      </c>
      <c r="B20" s="242"/>
      <c r="C20" s="242"/>
      <c r="D20" s="242"/>
      <c r="E20" s="242"/>
      <c r="F20" s="242"/>
      <c r="G20" s="242"/>
      <c r="H20" s="242"/>
    </row>
    <row r="21" spans="1:8" ht="16.5" thickBot="1">
      <c r="A21" s="243"/>
      <c r="B21" s="281"/>
      <c r="C21" s="281"/>
      <c r="D21" s="281"/>
      <c r="E21" s="281"/>
      <c r="F21" s="281"/>
      <c r="G21" s="281"/>
      <c r="H21" s="281"/>
    </row>
    <row r="22" spans="1:8" ht="16.5" customHeight="1" thickBot="1">
      <c r="A22" s="283" t="s">
        <v>183</v>
      </c>
      <c r="B22" s="284" t="s">
        <v>467</v>
      </c>
      <c r="C22" s="285"/>
      <c r="D22" s="285"/>
      <c r="E22" s="286"/>
      <c r="F22" s="254" t="s">
        <v>1026</v>
      </c>
      <c r="G22" s="255"/>
      <c r="H22" s="256"/>
    </row>
    <row r="23" spans="1:8" ht="16.5" thickBot="1">
      <c r="A23" s="287"/>
      <c r="B23" s="288"/>
      <c r="C23" s="289"/>
      <c r="D23" s="289"/>
      <c r="E23" s="290"/>
      <c r="F23" s="291">
        <f>F14</f>
        <v>2016</v>
      </c>
      <c r="G23" s="292">
        <f>G14</f>
        <v>2017</v>
      </c>
      <c r="H23" s="293">
        <f>H14</f>
        <v>2018</v>
      </c>
    </row>
    <row r="24" spans="1:8" ht="16.5" customHeight="1" thickBot="1">
      <c r="A24" s="293">
        <v>1</v>
      </c>
      <c r="B24" s="294" t="s">
        <v>186</v>
      </c>
      <c r="C24" s="295"/>
      <c r="D24" s="295"/>
      <c r="E24" s="296"/>
      <c r="F24" s="240"/>
      <c r="G24" s="240"/>
      <c r="H24" s="240"/>
    </row>
    <row r="25" spans="1:8">
      <c r="A25" s="243"/>
      <c r="B25" s="281"/>
      <c r="C25" s="281"/>
      <c r="D25" s="281"/>
      <c r="E25" s="281"/>
      <c r="F25" s="281"/>
      <c r="G25" s="281"/>
      <c r="H25" s="281"/>
    </row>
    <row r="26" spans="1:8" ht="15.75" customHeight="1">
      <c r="A26" s="242" t="s">
        <v>974</v>
      </c>
      <c r="B26" s="242"/>
      <c r="C26" s="242"/>
      <c r="D26" s="242"/>
      <c r="E26" s="242"/>
      <c r="F26" s="242"/>
      <c r="G26" s="242"/>
      <c r="H26" s="242"/>
    </row>
    <row r="27" spans="1:8" ht="16.5" thickBot="1">
      <c r="A27" s="243"/>
      <c r="B27" s="281"/>
      <c r="C27" s="244"/>
      <c r="D27" s="244"/>
      <c r="E27" s="244"/>
      <c r="F27" s="244"/>
      <c r="G27" s="281"/>
      <c r="H27" s="281"/>
    </row>
    <row r="28" spans="1:8" ht="16.5" customHeight="1" thickBot="1">
      <c r="A28" s="283" t="s">
        <v>183</v>
      </c>
      <c r="B28" s="284" t="s">
        <v>467</v>
      </c>
      <c r="C28" s="285"/>
      <c r="D28" s="285"/>
      <c r="E28" s="286"/>
      <c r="F28" s="254" t="s">
        <v>969</v>
      </c>
      <c r="G28" s="255"/>
      <c r="H28" s="256"/>
    </row>
    <row r="29" spans="1:8" ht="16.5" thickBot="1">
      <c r="A29" s="287"/>
      <c r="B29" s="288"/>
      <c r="C29" s="289"/>
      <c r="D29" s="289"/>
      <c r="E29" s="290"/>
      <c r="F29" s="291">
        <f>F23</f>
        <v>2016</v>
      </c>
      <c r="G29" s="292">
        <f>G23</f>
        <v>2017</v>
      </c>
      <c r="H29" s="293">
        <f>H23</f>
        <v>2018</v>
      </c>
    </row>
    <row r="30" spans="1:8" ht="16.5" customHeight="1" thickBot="1">
      <c r="A30" s="293">
        <v>1</v>
      </c>
      <c r="B30" s="294" t="s">
        <v>975</v>
      </c>
      <c r="C30" s="295"/>
      <c r="D30" s="295"/>
      <c r="E30" s="296"/>
      <c r="F30" s="240"/>
      <c r="G30" s="240"/>
      <c r="H30" s="297"/>
    </row>
    <row r="31" spans="1:8">
      <c r="A31" s="281"/>
      <c r="B31" s="298"/>
      <c r="C31" s="298"/>
      <c r="D31" s="298"/>
      <c r="E31" s="298"/>
      <c r="F31" s="298"/>
      <c r="G31" s="298"/>
      <c r="H31" s="298"/>
    </row>
    <row r="32" spans="1:8" ht="15.75" customHeight="1">
      <c r="A32" s="242" t="s">
        <v>521</v>
      </c>
      <c r="B32" s="242"/>
      <c r="C32" s="242"/>
      <c r="D32" s="242"/>
      <c r="E32" s="242"/>
      <c r="F32" s="242"/>
      <c r="G32" s="242"/>
      <c r="H32" s="242"/>
    </row>
    <row r="33" spans="1:10">
      <c r="A33" s="259"/>
      <c r="B33" s="298"/>
      <c r="C33" s="298"/>
      <c r="D33" s="298"/>
      <c r="E33" s="298"/>
      <c r="F33" s="298"/>
      <c r="G33" s="298"/>
      <c r="H33" s="298"/>
    </row>
    <row r="34" spans="1:10" ht="16.5" customHeight="1">
      <c r="A34" s="261" t="s">
        <v>183</v>
      </c>
      <c r="B34" s="262" t="s">
        <v>467</v>
      </c>
      <c r="C34" s="263"/>
      <c r="D34" s="264"/>
      <c r="E34" s="261" t="s">
        <v>522</v>
      </c>
      <c r="F34" s="265" t="s">
        <v>523</v>
      </c>
      <c r="G34" s="266"/>
      <c r="H34" s="267"/>
    </row>
    <row r="35" spans="1:10">
      <c r="A35" s="268"/>
      <c r="B35" s="269"/>
      <c r="C35" s="270"/>
      <c r="D35" s="271"/>
      <c r="E35" s="268"/>
      <c r="F35" s="272">
        <f>F29</f>
        <v>2016</v>
      </c>
      <c r="G35" s="272">
        <f>G29</f>
        <v>2017</v>
      </c>
      <c r="H35" s="272">
        <f>H29</f>
        <v>2018</v>
      </c>
    </row>
    <row r="36" spans="1:10" ht="16.5" customHeight="1">
      <c r="A36" s="273" t="s">
        <v>524</v>
      </c>
      <c r="B36" s="274"/>
      <c r="C36" s="274"/>
      <c r="D36" s="274"/>
      <c r="E36" s="274"/>
      <c r="F36" s="274"/>
      <c r="G36" s="274"/>
      <c r="H36" s="275"/>
    </row>
    <row r="37" spans="1:10" ht="16.5" customHeight="1">
      <c r="A37" s="299">
        <v>1</v>
      </c>
      <c r="B37" s="273" t="s">
        <v>525</v>
      </c>
      <c r="C37" s="274"/>
      <c r="D37" s="275"/>
      <c r="E37" s="300" t="s">
        <v>246</v>
      </c>
      <c r="F37" s="562"/>
      <c r="G37" s="562"/>
      <c r="H37" s="562"/>
      <c r="J37" s="238" t="s">
        <v>532</v>
      </c>
    </row>
    <row r="38" spans="1:10" ht="16.5" customHeight="1">
      <c r="A38" s="299">
        <v>2</v>
      </c>
      <c r="B38" s="273" t="s">
        <v>526</v>
      </c>
      <c r="C38" s="274"/>
      <c r="D38" s="275"/>
      <c r="E38" s="300" t="s">
        <v>246</v>
      </c>
      <c r="F38" s="562"/>
      <c r="G38" s="562"/>
      <c r="H38" s="562"/>
      <c r="J38" s="238" t="s">
        <v>532</v>
      </c>
    </row>
    <row r="39" spans="1:10" ht="16.5" customHeight="1">
      <c r="A39" s="273" t="s">
        <v>527</v>
      </c>
      <c r="B39" s="274"/>
      <c r="C39" s="274"/>
      <c r="D39" s="274"/>
      <c r="E39" s="274"/>
      <c r="F39" s="274"/>
      <c r="G39" s="274"/>
      <c r="H39" s="275"/>
    </row>
    <row r="40" spans="1:10" ht="39" customHeight="1">
      <c r="A40" s="299">
        <v>1</v>
      </c>
      <c r="B40" s="273" t="s">
        <v>528</v>
      </c>
      <c r="C40" s="274"/>
      <c r="D40" s="275"/>
      <c r="E40" s="301" t="s">
        <v>529</v>
      </c>
      <c r="F40" s="562"/>
      <c r="G40" s="562"/>
      <c r="H40" s="562"/>
      <c r="J40" s="238" t="s">
        <v>532</v>
      </c>
    </row>
    <row r="41" spans="1:10" ht="16.5" customHeight="1">
      <c r="A41" s="273" t="s">
        <v>530</v>
      </c>
      <c r="B41" s="274"/>
      <c r="C41" s="274"/>
      <c r="D41" s="274"/>
      <c r="E41" s="274"/>
      <c r="F41" s="274"/>
      <c r="G41" s="274"/>
      <c r="H41" s="275"/>
    </row>
    <row r="42" spans="1:10" ht="16.5" customHeight="1">
      <c r="A42" s="299">
        <v>1</v>
      </c>
      <c r="B42" s="273" t="s">
        <v>531</v>
      </c>
      <c r="C42" s="274"/>
      <c r="D42" s="275"/>
      <c r="E42" s="300" t="s">
        <v>246</v>
      </c>
      <c r="F42" s="236"/>
      <c r="G42" s="236"/>
      <c r="H42" s="236"/>
      <c r="J42" s="238" t="s">
        <v>532</v>
      </c>
    </row>
    <row r="43" spans="1:10" ht="39" customHeight="1">
      <c r="A43" s="299">
        <v>2</v>
      </c>
      <c r="B43" s="273" t="s">
        <v>454</v>
      </c>
      <c r="C43" s="274"/>
      <c r="D43" s="275"/>
      <c r="E43" s="302" t="s">
        <v>982</v>
      </c>
      <c r="F43" s="236"/>
      <c r="G43" s="236"/>
      <c r="H43" s="236"/>
      <c r="J43" s="238" t="s">
        <v>532</v>
      </c>
    </row>
    <row r="44" spans="1:10" ht="39" customHeight="1">
      <c r="A44" s="299">
        <v>3</v>
      </c>
      <c r="B44" s="273" t="s">
        <v>455</v>
      </c>
      <c r="C44" s="274"/>
      <c r="D44" s="275"/>
      <c r="E44" s="302" t="s">
        <v>982</v>
      </c>
      <c r="F44" s="236"/>
      <c r="G44" s="236"/>
      <c r="H44" s="236"/>
      <c r="J44" s="238" t="s">
        <v>532</v>
      </c>
    </row>
    <row r="45" spans="1:10" ht="16.5" customHeight="1">
      <c r="A45" s="243"/>
      <c r="B45" s="298"/>
      <c r="C45" s="298"/>
      <c r="D45" s="298"/>
      <c r="E45" s="298"/>
      <c r="F45" s="298"/>
      <c r="G45" s="298"/>
      <c r="H45" s="298"/>
    </row>
  </sheetData>
  <sheetProtection formatCells="0" formatColumns="0" formatRows="0"/>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51"/>
  <sheetViews>
    <sheetView workbookViewId="0">
      <selection sqref="A1:J15"/>
    </sheetView>
  </sheetViews>
  <sheetFormatPr defaultColWidth="10.28515625" defaultRowHeight="15"/>
  <cols>
    <col min="1" max="1" width="17" style="905" customWidth="1"/>
    <col min="2" max="2" width="28.42578125" style="905" customWidth="1"/>
    <col min="3" max="3" width="12.85546875" style="905" customWidth="1"/>
    <col min="4" max="4" width="13.5703125" style="905" customWidth="1"/>
    <col min="5" max="5" width="5.42578125" style="905" customWidth="1"/>
    <col min="6" max="6" width="11" style="905" customWidth="1"/>
    <col min="7" max="7" width="11.7109375" style="905" customWidth="1"/>
    <col min="8" max="8" width="12.140625" style="905" customWidth="1"/>
    <col min="9" max="17" width="10.28515625" style="905" customWidth="1"/>
    <col min="18" max="18" width="6.5703125" style="905" hidden="1" customWidth="1"/>
    <col min="19" max="19" width="28.42578125" style="905" hidden="1" customWidth="1"/>
    <col min="20" max="20" width="2.7109375" style="905" hidden="1" customWidth="1"/>
    <col min="21" max="21" width="13.5703125" style="905" hidden="1" customWidth="1"/>
    <col min="22" max="22" width="5.42578125" style="905" hidden="1" customWidth="1"/>
    <col min="23" max="23" width="12.5703125" style="905" hidden="1" customWidth="1"/>
    <col min="24" max="24" width="13" style="905" hidden="1" customWidth="1"/>
    <col min="25" max="25" width="12.85546875" style="905" hidden="1" customWidth="1"/>
    <col min="26" max="28" width="10.28515625" style="905" hidden="1" customWidth="1"/>
    <col min="29" max="30" width="11.28515625" style="905" hidden="1" customWidth="1"/>
    <col min="31" max="31" width="10.7109375" style="905" hidden="1" customWidth="1"/>
    <col min="32" max="32" width="10.28515625" style="905" hidden="1" customWidth="1"/>
    <col min="33" max="34" width="10.28515625" style="905" customWidth="1"/>
    <col min="35" max="16384" width="10.28515625" style="905"/>
  </cols>
  <sheetData>
    <row r="1" spans="1:31" ht="16.5">
      <c r="A1" s="898" t="s">
        <v>956</v>
      </c>
      <c r="B1" s="898"/>
      <c r="C1" s="898"/>
      <c r="D1" s="898"/>
      <c r="E1" s="899"/>
      <c r="F1" s="899"/>
      <c r="G1" s="899"/>
      <c r="H1" s="899"/>
      <c r="I1" s="900"/>
      <c r="J1" s="901"/>
      <c r="K1" s="902"/>
      <c r="L1" s="902"/>
      <c r="M1" s="902"/>
      <c r="N1" s="902"/>
      <c r="O1" s="902"/>
      <c r="P1" s="902"/>
      <c r="Q1" s="902"/>
      <c r="R1" s="903" t="s">
        <v>956</v>
      </c>
      <c r="S1" s="903"/>
      <c r="T1" s="903"/>
      <c r="U1" s="903"/>
      <c r="V1" s="904"/>
      <c r="W1" s="904"/>
      <c r="X1" s="904"/>
      <c r="Y1" s="904"/>
    </row>
    <row r="2" spans="1:31" ht="17.25" thickBot="1">
      <c r="A2" s="906"/>
      <c r="B2" s="906"/>
      <c r="C2" s="907"/>
      <c r="D2" s="907"/>
      <c r="E2" s="907"/>
      <c r="F2" s="907"/>
      <c r="G2" s="907"/>
      <c r="H2" s="907"/>
      <c r="I2" s="900"/>
      <c r="J2" s="901"/>
      <c r="K2" s="902"/>
      <c r="L2" s="902"/>
      <c r="M2" s="902"/>
      <c r="N2" s="902"/>
      <c r="O2" s="902"/>
      <c r="P2" s="902"/>
      <c r="Q2" s="902"/>
      <c r="R2" s="908"/>
      <c r="S2" s="908"/>
      <c r="T2" s="909"/>
      <c r="U2" s="909"/>
      <c r="V2" s="909"/>
      <c r="W2" s="909"/>
      <c r="X2" s="909"/>
      <c r="Y2" s="909"/>
    </row>
    <row r="3" spans="1:31" ht="38.25" customHeight="1" thickBot="1">
      <c r="A3" s="910" t="s">
        <v>957</v>
      </c>
      <c r="B3" s="911"/>
      <c r="C3" s="912"/>
      <c r="D3" s="913"/>
      <c r="E3" s="913"/>
      <c r="F3" s="913"/>
      <c r="G3" s="913"/>
      <c r="H3" s="914"/>
      <c r="I3" s="900"/>
      <c r="J3" s="901"/>
      <c r="K3" s="902"/>
      <c r="L3" s="902"/>
      <c r="M3" s="902"/>
      <c r="N3" s="902"/>
      <c r="O3" s="902"/>
      <c r="P3" s="902"/>
      <c r="Q3" s="902"/>
      <c r="R3" s="915" t="s">
        <v>957</v>
      </c>
      <c r="S3" s="916"/>
      <c r="T3" s="917">
        <f>C3</f>
        <v>0</v>
      </c>
      <c r="U3" s="918"/>
      <c r="V3" s="918"/>
      <c r="W3" s="918"/>
      <c r="X3" s="918"/>
      <c r="Y3" s="919"/>
    </row>
    <row r="4" spans="1:31" ht="38.25" customHeight="1" thickBot="1">
      <c r="A4" s="910" t="s">
        <v>958</v>
      </c>
      <c r="B4" s="911"/>
      <c r="C4" s="920"/>
      <c r="D4" s="921"/>
      <c r="E4" s="921"/>
      <c r="F4" s="921"/>
      <c r="G4" s="921"/>
      <c r="H4" s="922"/>
      <c r="I4" s="900"/>
      <c r="J4" s="901"/>
      <c r="K4" s="902"/>
      <c r="L4" s="902"/>
      <c r="M4" s="902"/>
      <c r="N4" s="902"/>
      <c r="O4" s="902"/>
      <c r="P4" s="902"/>
      <c r="Q4" s="902"/>
      <c r="R4" s="915" t="s">
        <v>958</v>
      </c>
      <c r="S4" s="916"/>
      <c r="T4" s="923">
        <f>C4</f>
        <v>0</v>
      </c>
      <c r="U4" s="924"/>
      <c r="V4" s="924"/>
      <c r="W4" s="924"/>
      <c r="X4" s="924"/>
      <c r="Y4" s="925"/>
    </row>
    <row r="5" spans="1:31" ht="17.25" thickBot="1">
      <c r="A5" s="910" t="s">
        <v>18</v>
      </c>
      <c r="B5" s="911"/>
      <c r="C5" s="912"/>
      <c r="D5" s="913"/>
      <c r="E5" s="913"/>
      <c r="F5" s="913"/>
      <c r="G5" s="913"/>
      <c r="H5" s="914"/>
      <c r="I5" s="900"/>
      <c r="J5" s="901"/>
      <c r="K5" s="902"/>
      <c r="L5" s="902"/>
      <c r="M5" s="902"/>
      <c r="N5" s="902"/>
      <c r="O5" s="902"/>
      <c r="P5" s="902"/>
      <c r="Q5" s="902"/>
      <c r="R5" s="915" t="s">
        <v>18</v>
      </c>
      <c r="S5" s="916"/>
      <c r="T5" s="917">
        <f>C5</f>
        <v>0</v>
      </c>
      <c r="U5" s="918"/>
      <c r="V5" s="918"/>
      <c r="W5" s="918"/>
      <c r="X5" s="918"/>
      <c r="Y5" s="919"/>
      <c r="AC5" s="926"/>
      <c r="AD5" s="926"/>
    </row>
    <row r="6" spans="1:31" ht="17.25" customHeight="1" thickBot="1">
      <c r="A6" s="910" t="s">
        <v>959</v>
      </c>
      <c r="B6" s="911"/>
      <c r="C6" s="927" t="s">
        <v>189</v>
      </c>
      <c r="D6" s="928"/>
      <c r="E6" s="928"/>
      <c r="F6" s="928"/>
      <c r="G6" s="928"/>
      <c r="H6" s="929"/>
      <c r="I6" s="900"/>
      <c r="J6" s="901"/>
      <c r="K6" s="902"/>
      <c r="L6" s="902"/>
      <c r="M6" s="902"/>
      <c r="N6" s="902"/>
      <c r="O6" s="902"/>
      <c r="P6" s="902"/>
      <c r="Q6" s="902"/>
      <c r="R6" s="915" t="s">
        <v>959</v>
      </c>
      <c r="S6" s="916"/>
      <c r="T6" s="930" t="s">
        <v>189</v>
      </c>
      <c r="U6" s="931"/>
      <c r="V6" s="931"/>
      <c r="W6" s="931"/>
      <c r="X6" s="931"/>
      <c r="Y6" s="932"/>
      <c r="AE6" s="933"/>
    </row>
    <row r="7" spans="1:31" ht="32.25" customHeight="1" thickBot="1">
      <c r="A7" s="910" t="s">
        <v>960</v>
      </c>
      <c r="B7" s="911"/>
      <c r="C7" s="927" t="s">
        <v>961</v>
      </c>
      <c r="D7" s="928"/>
      <c r="E7" s="928"/>
      <c r="F7" s="928"/>
      <c r="G7" s="928"/>
      <c r="H7" s="929"/>
      <c r="I7" s="900"/>
      <c r="J7" s="901"/>
      <c r="K7" s="902"/>
      <c r="L7" s="902"/>
      <c r="M7" s="902"/>
      <c r="N7" s="902"/>
      <c r="O7" s="902"/>
      <c r="P7" s="902"/>
      <c r="Q7" s="902"/>
      <c r="R7" s="915" t="s">
        <v>960</v>
      </c>
      <c r="S7" s="916"/>
      <c r="T7" s="930" t="s">
        <v>961</v>
      </c>
      <c r="U7" s="931"/>
      <c r="V7" s="931"/>
      <c r="W7" s="931"/>
      <c r="X7" s="931"/>
      <c r="Y7" s="932"/>
    </row>
    <row r="8" spans="1:31" ht="41.25" customHeight="1" thickBot="1">
      <c r="A8" s="910" t="s">
        <v>958</v>
      </c>
      <c r="B8" s="911"/>
      <c r="C8" s="927" t="s">
        <v>962</v>
      </c>
      <c r="D8" s="928"/>
      <c r="E8" s="928"/>
      <c r="F8" s="928"/>
      <c r="G8" s="928"/>
      <c r="H8" s="929"/>
      <c r="I8" s="934"/>
      <c r="J8" s="935"/>
      <c r="R8" s="915" t="s">
        <v>958</v>
      </c>
      <c r="S8" s="916"/>
      <c r="T8" s="930" t="s">
        <v>962</v>
      </c>
      <c r="U8" s="931"/>
      <c r="V8" s="931"/>
      <c r="W8" s="931"/>
      <c r="X8" s="931"/>
      <c r="Y8" s="932"/>
    </row>
    <row r="9" spans="1:31" ht="42.75" customHeight="1" thickBot="1">
      <c r="A9" s="910" t="s">
        <v>963</v>
      </c>
      <c r="B9" s="911"/>
      <c r="C9" s="927" t="s">
        <v>964</v>
      </c>
      <c r="D9" s="936">
        <v>42736</v>
      </c>
      <c r="E9" s="928" t="s">
        <v>965</v>
      </c>
      <c r="F9" s="937">
        <v>43830</v>
      </c>
      <c r="G9" s="928"/>
      <c r="H9" s="929"/>
      <c r="I9" s="938"/>
      <c r="J9" s="935"/>
      <c r="R9" s="915" t="s">
        <v>963</v>
      </c>
      <c r="S9" s="916"/>
      <c r="T9" s="930" t="s">
        <v>964</v>
      </c>
      <c r="U9" s="936">
        <v>42736</v>
      </c>
      <c r="V9" s="931" t="s">
        <v>965</v>
      </c>
      <c r="W9" s="939">
        <v>43830</v>
      </c>
      <c r="X9" s="931"/>
      <c r="Y9" s="932"/>
      <c r="AC9" s="926"/>
    </row>
    <row r="10" spans="1:31" ht="16.5">
      <c r="A10" s="899"/>
      <c r="B10" s="940"/>
      <c r="C10" s="940"/>
      <c r="D10" s="940"/>
      <c r="E10" s="940"/>
      <c r="F10" s="940"/>
      <c r="G10" s="940"/>
      <c r="H10" s="940"/>
      <c r="I10" s="938"/>
      <c r="J10" s="935"/>
      <c r="R10" s="904"/>
      <c r="S10" s="941"/>
      <c r="T10" s="941"/>
      <c r="U10" s="941"/>
      <c r="V10" s="941"/>
      <c r="W10" s="941"/>
      <c r="X10" s="941"/>
      <c r="Y10" s="941"/>
      <c r="AC10" s="942">
        <v>43100</v>
      </c>
    </row>
    <row r="11" spans="1:31" ht="16.5">
      <c r="A11" s="898" t="s">
        <v>966</v>
      </c>
      <c r="B11" s="898"/>
      <c r="C11" s="898"/>
      <c r="D11" s="898"/>
      <c r="E11" s="898"/>
      <c r="F11" s="898"/>
      <c r="G11" s="898"/>
      <c r="H11" s="899"/>
      <c r="I11" s="900"/>
      <c r="J11" s="901"/>
      <c r="K11" s="902"/>
      <c r="L11" s="902"/>
      <c r="M11" s="902"/>
      <c r="N11" s="902"/>
      <c r="O11" s="902"/>
      <c r="P11" s="902"/>
      <c r="Q11" s="902"/>
      <c r="R11" s="903" t="s">
        <v>966</v>
      </c>
      <c r="S11" s="903"/>
      <c r="T11" s="903"/>
      <c r="U11" s="903"/>
      <c r="V11" s="903"/>
      <c r="W11" s="903"/>
      <c r="X11" s="903"/>
      <c r="Y11" s="904"/>
    </row>
    <row r="12" spans="1:31" ht="17.25" thickBot="1">
      <c r="A12" s="899"/>
      <c r="B12" s="907"/>
      <c r="C12" s="907"/>
      <c r="D12" s="907"/>
      <c r="E12" s="907"/>
      <c r="F12" s="907"/>
      <c r="G12" s="907"/>
      <c r="H12" s="907"/>
      <c r="I12" s="900"/>
      <c r="J12" s="901"/>
      <c r="K12" s="902"/>
      <c r="L12" s="902"/>
      <c r="M12" s="902"/>
      <c r="N12" s="902"/>
      <c r="O12" s="902"/>
      <c r="P12" s="902"/>
      <c r="Q12" s="902"/>
      <c r="R12" s="904"/>
      <c r="S12" s="909"/>
      <c r="T12" s="909"/>
      <c r="U12" s="909"/>
      <c r="V12" s="909"/>
      <c r="W12" s="909"/>
      <c r="X12" s="909"/>
      <c r="Y12" s="909"/>
      <c r="AC12" s="943">
        <f>(1+(AC10-U9))/365</f>
        <v>1</v>
      </c>
      <c r="AD12" s="905" t="s">
        <v>967</v>
      </c>
    </row>
    <row r="13" spans="1:31" ht="30" customHeight="1" thickBot="1">
      <c r="A13" s="944" t="s">
        <v>183</v>
      </c>
      <c r="B13" s="945" t="s">
        <v>968</v>
      </c>
      <c r="C13" s="946"/>
      <c r="D13" s="946"/>
      <c r="E13" s="947"/>
      <c r="F13" s="927" t="s">
        <v>969</v>
      </c>
      <c r="G13" s="928"/>
      <c r="H13" s="929"/>
      <c r="I13" s="900"/>
      <c r="J13" s="901"/>
      <c r="K13" s="902"/>
      <c r="L13" s="902"/>
      <c r="M13" s="902"/>
      <c r="N13" s="902"/>
      <c r="O13" s="902"/>
      <c r="P13" s="902"/>
      <c r="Q13" s="902"/>
      <c r="R13" s="948" t="s">
        <v>183</v>
      </c>
      <c r="S13" s="949" t="s">
        <v>968</v>
      </c>
      <c r="T13" s="950"/>
      <c r="U13" s="950"/>
      <c r="V13" s="951"/>
      <c r="W13" s="930" t="s">
        <v>969</v>
      </c>
      <c r="X13" s="931"/>
      <c r="Y13" s="932"/>
    </row>
    <row r="14" spans="1:31" ht="27" customHeight="1" thickBot="1">
      <c r="A14" s="952"/>
      <c r="B14" s="953"/>
      <c r="C14" s="954"/>
      <c r="D14" s="954"/>
      <c r="E14" s="955"/>
      <c r="F14" s="956">
        <v>2017</v>
      </c>
      <c r="G14" s="956">
        <v>2018</v>
      </c>
      <c r="H14" s="956">
        <v>2019</v>
      </c>
      <c r="I14" s="900"/>
      <c r="J14" s="901"/>
      <c r="K14" s="902"/>
      <c r="L14" s="902"/>
      <c r="M14" s="902"/>
      <c r="N14" s="902"/>
      <c r="O14" s="902"/>
      <c r="P14" s="902"/>
      <c r="Q14" s="902"/>
      <c r="R14" s="957"/>
      <c r="S14" s="958"/>
      <c r="T14" s="959"/>
      <c r="U14" s="959"/>
      <c r="V14" s="960"/>
      <c r="W14" s="961">
        <v>2017</v>
      </c>
      <c r="X14" s="961">
        <v>2018</v>
      </c>
      <c r="Y14" s="961">
        <v>2019</v>
      </c>
    </row>
    <row r="15" spans="1:31" ht="70.5" customHeight="1" thickBot="1">
      <c r="A15" s="952">
        <v>1</v>
      </c>
      <c r="B15" s="962" t="s">
        <v>970</v>
      </c>
      <c r="C15" s="963"/>
      <c r="D15" s="963"/>
      <c r="E15" s="964"/>
      <c r="F15" s="965"/>
      <c r="G15" s="965"/>
      <c r="H15" s="965"/>
      <c r="I15" s="900"/>
      <c r="J15" s="901"/>
      <c r="K15" s="902"/>
      <c r="L15" s="902"/>
      <c r="M15" s="902"/>
      <c r="N15" s="902"/>
      <c r="O15" s="902"/>
      <c r="P15" s="902"/>
      <c r="Q15" s="902"/>
      <c r="R15" s="957">
        <v>1</v>
      </c>
      <c r="S15" s="966" t="s">
        <v>970</v>
      </c>
      <c r="T15" s="967"/>
      <c r="U15" s="967"/>
      <c r="V15" s="968"/>
      <c r="W15" s="969">
        <v>0</v>
      </c>
      <c r="X15" s="969">
        <v>0</v>
      </c>
      <c r="Y15" s="969">
        <v>0</v>
      </c>
    </row>
    <row r="16" spans="1:31" ht="63.75" customHeight="1" thickBot="1">
      <c r="A16" s="952">
        <v>2</v>
      </c>
      <c r="B16" s="970" t="s">
        <v>971</v>
      </c>
      <c r="C16" s="971"/>
      <c r="D16" s="971"/>
      <c r="E16" s="972"/>
      <c r="F16" s="973"/>
      <c r="G16" s="965"/>
      <c r="H16" s="965"/>
      <c r="I16" s="938"/>
      <c r="J16" s="935"/>
      <c r="R16" s="957">
        <v>2</v>
      </c>
      <c r="S16" s="974" t="s">
        <v>971</v>
      </c>
      <c r="T16" s="975"/>
      <c r="U16" s="975"/>
      <c r="V16" s="976"/>
      <c r="W16" s="973"/>
      <c r="X16" s="969">
        <v>0</v>
      </c>
      <c r="Y16" s="969">
        <v>0</v>
      </c>
    </row>
    <row r="17" spans="1:25" ht="17.25" thickBot="1">
      <c r="A17" s="952">
        <v>3</v>
      </c>
      <c r="B17" s="970" t="s">
        <v>972</v>
      </c>
      <c r="C17" s="971"/>
      <c r="D17" s="971"/>
      <c r="E17" s="972"/>
      <c r="F17" s="973"/>
      <c r="G17" s="965"/>
      <c r="H17" s="965"/>
      <c r="I17" s="938"/>
      <c r="J17" s="935"/>
      <c r="R17" s="957">
        <v>3</v>
      </c>
      <c r="S17" s="974" t="s">
        <v>972</v>
      </c>
      <c r="T17" s="975"/>
      <c r="U17" s="975"/>
      <c r="V17" s="976"/>
      <c r="W17" s="973"/>
      <c r="X17" s="969">
        <v>0</v>
      </c>
      <c r="Y17" s="969">
        <v>0</v>
      </c>
    </row>
    <row r="18" spans="1:25" ht="17.25" thickBot="1">
      <c r="A18" s="977"/>
      <c r="B18" s="927" t="s">
        <v>520</v>
      </c>
      <c r="C18" s="928"/>
      <c r="D18" s="928"/>
      <c r="E18" s="929"/>
      <c r="F18" s="978"/>
      <c r="G18" s="978"/>
      <c r="H18" s="978"/>
      <c r="I18" s="938"/>
      <c r="J18" s="935"/>
      <c r="R18" s="979"/>
      <c r="S18" s="930" t="s">
        <v>520</v>
      </c>
      <c r="T18" s="931"/>
      <c r="U18" s="931"/>
      <c r="V18" s="932"/>
      <c r="W18" s="980">
        <f>SUM(W15:W17)</f>
        <v>0</v>
      </c>
      <c r="X18" s="980">
        <f t="shared" ref="X18:Y18" si="0">SUM(X15:X17)</f>
        <v>0</v>
      </c>
      <c r="Y18" s="980">
        <f t="shared" si="0"/>
        <v>0</v>
      </c>
    </row>
    <row r="19" spans="1:25" ht="16.5">
      <c r="A19" s="981"/>
      <c r="B19" s="982"/>
      <c r="C19" s="982"/>
      <c r="D19" s="982"/>
      <c r="E19" s="982"/>
      <c r="F19" s="982"/>
      <c r="G19" s="982"/>
      <c r="H19" s="982"/>
      <c r="I19" s="938"/>
      <c r="J19" s="935"/>
      <c r="R19" s="901"/>
      <c r="S19" s="983"/>
      <c r="T19" s="983"/>
      <c r="U19" s="983"/>
      <c r="V19" s="983"/>
      <c r="W19" s="983"/>
      <c r="X19" s="983"/>
      <c r="Y19" s="983"/>
    </row>
    <row r="20" spans="1:25" ht="16.5">
      <c r="A20" s="898" t="s">
        <v>973</v>
      </c>
      <c r="B20" s="898"/>
      <c r="C20" s="898"/>
      <c r="D20" s="898"/>
      <c r="E20" s="898"/>
      <c r="F20" s="898"/>
      <c r="G20" s="898"/>
      <c r="H20" s="898"/>
      <c r="I20" s="900"/>
      <c r="J20" s="901"/>
      <c r="K20" s="902"/>
      <c r="L20" s="902"/>
      <c r="M20" s="902"/>
      <c r="N20" s="902"/>
      <c r="O20" s="902"/>
      <c r="P20" s="902"/>
      <c r="Q20" s="902"/>
      <c r="R20" s="903" t="s">
        <v>973</v>
      </c>
      <c r="S20" s="903"/>
      <c r="T20" s="903"/>
      <c r="U20" s="903"/>
      <c r="V20" s="903"/>
      <c r="W20" s="903"/>
      <c r="X20" s="903"/>
      <c r="Y20" s="903"/>
    </row>
    <row r="21" spans="1:25" ht="17.25" thickBot="1">
      <c r="A21" s="899"/>
      <c r="B21" s="981"/>
      <c r="C21" s="981"/>
      <c r="D21" s="981"/>
      <c r="E21" s="981"/>
      <c r="F21" s="981"/>
      <c r="G21" s="981"/>
      <c r="H21" s="981"/>
      <c r="I21" s="900"/>
      <c r="J21" s="901"/>
      <c r="K21" s="902"/>
      <c r="L21" s="902"/>
      <c r="M21" s="902"/>
      <c r="N21" s="902"/>
      <c r="O21" s="902"/>
      <c r="P21" s="902"/>
      <c r="Q21" s="902"/>
      <c r="R21" s="904"/>
      <c r="S21" s="901"/>
      <c r="T21" s="901"/>
      <c r="U21" s="901"/>
      <c r="V21" s="901"/>
      <c r="W21" s="901"/>
      <c r="X21" s="901"/>
      <c r="Y21" s="901"/>
    </row>
    <row r="22" spans="1:25" ht="17.25" customHeight="1" thickBot="1">
      <c r="A22" s="944" t="s">
        <v>183</v>
      </c>
      <c r="B22" s="945" t="s">
        <v>467</v>
      </c>
      <c r="C22" s="946"/>
      <c r="D22" s="946"/>
      <c r="E22" s="947"/>
      <c r="F22" s="927" t="s">
        <v>1026</v>
      </c>
      <c r="G22" s="928"/>
      <c r="H22" s="929"/>
      <c r="I22" s="900"/>
      <c r="J22" s="901"/>
      <c r="K22" s="902"/>
      <c r="L22" s="902"/>
      <c r="M22" s="902"/>
      <c r="N22" s="902"/>
      <c r="O22" s="902"/>
      <c r="P22" s="902"/>
      <c r="Q22" s="902"/>
      <c r="R22" s="948" t="s">
        <v>183</v>
      </c>
      <c r="S22" s="949" t="s">
        <v>467</v>
      </c>
      <c r="T22" s="950"/>
      <c r="U22" s="950"/>
      <c r="V22" s="951"/>
      <c r="W22" s="930" t="s">
        <v>1026</v>
      </c>
      <c r="X22" s="931"/>
      <c r="Y22" s="932"/>
    </row>
    <row r="23" spans="1:25" ht="17.25" thickBot="1">
      <c r="A23" s="952"/>
      <c r="B23" s="953"/>
      <c r="C23" s="954"/>
      <c r="D23" s="954"/>
      <c r="E23" s="955"/>
      <c r="F23" s="956">
        <v>2017</v>
      </c>
      <c r="G23" s="984">
        <v>2018</v>
      </c>
      <c r="H23" s="952">
        <v>2019</v>
      </c>
      <c r="I23" s="900"/>
      <c r="J23" s="901"/>
      <c r="K23" s="902"/>
      <c r="L23" s="902"/>
      <c r="M23" s="902"/>
      <c r="N23" s="902"/>
      <c r="O23" s="902"/>
      <c r="P23" s="902"/>
      <c r="Q23" s="902"/>
      <c r="R23" s="957"/>
      <c r="S23" s="958"/>
      <c r="T23" s="959"/>
      <c r="U23" s="959"/>
      <c r="V23" s="960"/>
      <c r="W23" s="961">
        <v>2017</v>
      </c>
      <c r="X23" s="985">
        <v>2018</v>
      </c>
      <c r="Y23" s="986">
        <v>2019</v>
      </c>
    </row>
    <row r="24" spans="1:25" ht="17.25" thickBot="1">
      <c r="A24" s="952">
        <v>1</v>
      </c>
      <c r="B24" s="962" t="s">
        <v>186</v>
      </c>
      <c r="C24" s="963"/>
      <c r="D24" s="963"/>
      <c r="E24" s="964"/>
      <c r="F24" s="965"/>
      <c r="G24" s="965"/>
      <c r="H24" s="965"/>
      <c r="I24" s="900"/>
      <c r="J24" s="901"/>
      <c r="K24" s="902"/>
      <c r="L24" s="902"/>
      <c r="M24" s="902"/>
      <c r="N24" s="902"/>
      <c r="O24" s="902"/>
      <c r="P24" s="902"/>
      <c r="Q24" s="902"/>
      <c r="R24" s="957">
        <v>1</v>
      </c>
      <c r="S24" s="966" t="s">
        <v>186</v>
      </c>
      <c r="T24" s="967"/>
      <c r="U24" s="967"/>
      <c r="V24" s="968"/>
      <c r="W24" s="969">
        <v>0</v>
      </c>
      <c r="X24" s="969">
        <v>0</v>
      </c>
      <c r="Y24" s="969">
        <v>0</v>
      </c>
    </row>
    <row r="25" spans="1:25" ht="16.5">
      <c r="A25" s="899"/>
      <c r="B25" s="981"/>
      <c r="C25" s="981"/>
      <c r="D25" s="981"/>
      <c r="E25" s="981"/>
      <c r="F25" s="981"/>
      <c r="G25" s="981"/>
      <c r="H25" s="981"/>
      <c r="I25" s="900"/>
      <c r="J25" s="901"/>
      <c r="K25" s="902"/>
      <c r="L25" s="902"/>
      <c r="M25" s="902"/>
      <c r="N25" s="902"/>
      <c r="O25" s="902"/>
      <c r="P25" s="902"/>
      <c r="Q25" s="902"/>
      <c r="R25" s="904"/>
      <c r="S25" s="901"/>
      <c r="T25" s="901"/>
      <c r="U25" s="901"/>
      <c r="V25" s="901"/>
      <c r="W25" s="901"/>
      <c r="X25" s="901"/>
      <c r="Y25" s="901"/>
    </row>
    <row r="26" spans="1:25" ht="27.75" customHeight="1">
      <c r="A26" s="898" t="s">
        <v>974</v>
      </c>
      <c r="B26" s="898"/>
      <c r="C26" s="898"/>
      <c r="D26" s="898"/>
      <c r="E26" s="898"/>
      <c r="F26" s="898"/>
      <c r="G26" s="898"/>
      <c r="H26" s="898"/>
      <c r="I26" s="900"/>
      <c r="J26" s="901"/>
      <c r="K26" s="902"/>
      <c r="L26" s="902"/>
      <c r="M26" s="902"/>
      <c r="N26" s="902"/>
      <c r="O26" s="902"/>
      <c r="P26" s="902"/>
      <c r="Q26" s="902"/>
      <c r="R26" s="903" t="s">
        <v>974</v>
      </c>
      <c r="S26" s="903"/>
      <c r="T26" s="903"/>
      <c r="U26" s="903"/>
      <c r="V26" s="903"/>
      <c r="W26" s="903"/>
      <c r="X26" s="903"/>
      <c r="Y26" s="903"/>
    </row>
    <row r="27" spans="1:25" ht="17.25" thickBot="1">
      <c r="A27" s="899"/>
      <c r="B27" s="981"/>
      <c r="C27" s="906"/>
      <c r="D27" s="906"/>
      <c r="E27" s="906"/>
      <c r="F27" s="906"/>
      <c r="G27" s="981"/>
      <c r="H27" s="981"/>
      <c r="I27" s="900"/>
      <c r="J27" s="901"/>
      <c r="K27" s="902"/>
      <c r="L27" s="902"/>
      <c r="M27" s="902"/>
      <c r="N27" s="902"/>
      <c r="O27" s="902"/>
      <c r="P27" s="902"/>
      <c r="Q27" s="902"/>
      <c r="R27" s="904"/>
      <c r="S27" s="901"/>
      <c r="T27" s="908"/>
      <c r="U27" s="908"/>
      <c r="V27" s="908"/>
      <c r="W27" s="908"/>
      <c r="X27" s="901"/>
      <c r="Y27" s="901"/>
    </row>
    <row r="28" spans="1:25" ht="17.25" customHeight="1" thickBot="1">
      <c r="A28" s="944" t="s">
        <v>183</v>
      </c>
      <c r="B28" s="945" t="s">
        <v>467</v>
      </c>
      <c r="C28" s="946"/>
      <c r="D28" s="946"/>
      <c r="E28" s="947"/>
      <c r="F28" s="927" t="s">
        <v>969</v>
      </c>
      <c r="G28" s="928"/>
      <c r="H28" s="929"/>
      <c r="I28" s="900"/>
      <c r="J28" s="901"/>
      <c r="K28" s="902"/>
      <c r="L28" s="902"/>
      <c r="M28" s="902"/>
      <c r="N28" s="902"/>
      <c r="O28" s="902"/>
      <c r="P28" s="902"/>
      <c r="Q28" s="902"/>
      <c r="R28" s="948" t="s">
        <v>183</v>
      </c>
      <c r="S28" s="949" t="s">
        <v>467</v>
      </c>
      <c r="T28" s="950"/>
      <c r="U28" s="950"/>
      <c r="V28" s="951"/>
      <c r="W28" s="930" t="s">
        <v>969</v>
      </c>
      <c r="X28" s="931"/>
      <c r="Y28" s="932"/>
    </row>
    <row r="29" spans="1:25" ht="17.25" thickBot="1">
      <c r="A29" s="952"/>
      <c r="B29" s="953"/>
      <c r="C29" s="954"/>
      <c r="D29" s="954"/>
      <c r="E29" s="955"/>
      <c r="F29" s="956">
        <v>2017</v>
      </c>
      <c r="G29" s="984">
        <v>2018</v>
      </c>
      <c r="H29" s="952">
        <v>2019</v>
      </c>
      <c r="I29" s="900"/>
      <c r="J29" s="901"/>
      <c r="K29" s="902"/>
      <c r="L29" s="902"/>
      <c r="M29" s="902"/>
      <c r="N29" s="902"/>
      <c r="O29" s="902"/>
      <c r="P29" s="902"/>
      <c r="Q29" s="902"/>
      <c r="R29" s="957"/>
      <c r="S29" s="958"/>
      <c r="T29" s="959"/>
      <c r="U29" s="959"/>
      <c r="V29" s="960"/>
      <c r="W29" s="961">
        <v>2017</v>
      </c>
      <c r="X29" s="985">
        <v>2018</v>
      </c>
      <c r="Y29" s="986">
        <v>2019</v>
      </c>
    </row>
    <row r="30" spans="1:25" ht="17.25" customHeight="1" thickBot="1">
      <c r="A30" s="952">
        <v>1</v>
      </c>
      <c r="B30" s="962" t="s">
        <v>975</v>
      </c>
      <c r="C30" s="963"/>
      <c r="D30" s="963"/>
      <c r="E30" s="964"/>
      <c r="F30" s="965"/>
      <c r="G30" s="965"/>
      <c r="H30" s="987"/>
      <c r="I30" s="900"/>
      <c r="J30" s="901"/>
      <c r="K30" s="902"/>
      <c r="L30" s="902"/>
      <c r="M30" s="902"/>
      <c r="N30" s="902"/>
      <c r="O30" s="902"/>
      <c r="P30" s="902"/>
      <c r="Q30" s="902"/>
      <c r="R30" s="957">
        <v>1</v>
      </c>
      <c r="S30" s="966" t="s">
        <v>975</v>
      </c>
      <c r="T30" s="967"/>
      <c r="U30" s="967"/>
      <c r="V30" s="968"/>
      <c r="W30" s="969">
        <v>0</v>
      </c>
      <c r="X30" s="969">
        <v>0</v>
      </c>
      <c r="Y30" s="988">
        <v>0</v>
      </c>
    </row>
    <row r="31" spans="1:25" ht="15" customHeight="1">
      <c r="A31" s="982"/>
      <c r="B31" s="989"/>
      <c r="C31" s="989"/>
      <c r="D31" s="989"/>
      <c r="E31" s="989"/>
      <c r="F31" s="989"/>
      <c r="G31" s="989"/>
      <c r="H31" s="982"/>
      <c r="I31" s="900"/>
      <c r="J31" s="901"/>
      <c r="K31" s="902"/>
      <c r="L31" s="902"/>
      <c r="M31" s="902"/>
      <c r="N31" s="902"/>
      <c r="O31" s="902"/>
      <c r="P31" s="902"/>
      <c r="Q31" s="902"/>
      <c r="R31" s="983"/>
      <c r="S31" s="990"/>
      <c r="T31" s="990"/>
      <c r="U31" s="990"/>
      <c r="V31" s="990"/>
      <c r="W31" s="990"/>
      <c r="X31" s="990"/>
      <c r="Y31" s="983"/>
    </row>
    <row r="32" spans="1:25" ht="50.25" customHeight="1">
      <c r="A32" s="898" t="s">
        <v>1902</v>
      </c>
      <c r="B32" s="898"/>
      <c r="C32" s="898"/>
      <c r="D32" s="898"/>
      <c r="E32" s="898"/>
      <c r="F32" s="898"/>
      <c r="G32" s="898"/>
      <c r="H32" s="898"/>
      <c r="I32" s="900"/>
      <c r="J32" s="901"/>
      <c r="K32" s="902"/>
      <c r="L32" s="902"/>
      <c r="M32" s="902"/>
      <c r="N32" s="902"/>
      <c r="O32" s="902"/>
      <c r="P32" s="902"/>
      <c r="Q32" s="902"/>
      <c r="R32" s="903" t="s">
        <v>1902</v>
      </c>
      <c r="S32" s="903"/>
      <c r="T32" s="903"/>
      <c r="U32" s="903"/>
      <c r="V32" s="903"/>
      <c r="W32" s="903"/>
      <c r="X32" s="903"/>
      <c r="Y32" s="903"/>
    </row>
    <row r="33" spans="1:25" ht="16.5">
      <c r="A33" s="991"/>
      <c r="B33" s="992"/>
      <c r="C33" s="992"/>
      <c r="D33" s="992"/>
      <c r="E33" s="992"/>
      <c r="F33" s="992"/>
      <c r="G33" s="992"/>
      <c r="H33" s="992"/>
      <c r="I33" s="900"/>
      <c r="J33" s="901"/>
      <c r="K33" s="902"/>
      <c r="L33" s="902"/>
      <c r="M33" s="902"/>
      <c r="N33" s="902"/>
      <c r="O33" s="902"/>
      <c r="P33" s="902"/>
      <c r="Q33" s="902"/>
      <c r="R33" s="993"/>
      <c r="S33" s="994"/>
      <c r="T33" s="994"/>
      <c r="U33" s="994"/>
      <c r="V33" s="994"/>
      <c r="W33" s="994"/>
      <c r="X33" s="994"/>
      <c r="Y33" s="994"/>
    </row>
    <row r="34" spans="1:25" ht="20.25" customHeight="1">
      <c r="A34" s="995" t="s">
        <v>183</v>
      </c>
      <c r="B34" s="996" t="s">
        <v>467</v>
      </c>
      <c r="C34" s="997"/>
      <c r="D34" s="998"/>
      <c r="E34" s="995" t="s">
        <v>522</v>
      </c>
      <c r="F34" s="999" t="s">
        <v>523</v>
      </c>
      <c r="G34" s="1000"/>
      <c r="H34" s="1001"/>
      <c r="I34" s="900"/>
      <c r="J34" s="901"/>
      <c r="K34" s="902"/>
      <c r="L34" s="902"/>
      <c r="M34" s="902"/>
      <c r="N34" s="902"/>
      <c r="O34" s="902"/>
      <c r="P34" s="902"/>
      <c r="Q34" s="902"/>
      <c r="R34" s="1002" t="s">
        <v>183</v>
      </c>
      <c r="S34" s="1003" t="s">
        <v>467</v>
      </c>
      <c r="T34" s="1004"/>
      <c r="U34" s="1005"/>
      <c r="V34" s="1002" t="s">
        <v>522</v>
      </c>
      <c r="W34" s="1006" t="s">
        <v>523</v>
      </c>
      <c r="X34" s="1007"/>
      <c r="Y34" s="1008"/>
    </row>
    <row r="35" spans="1:25" ht="23.25" customHeight="1">
      <c r="A35" s="1009"/>
      <c r="B35" s="1010"/>
      <c r="C35" s="1011"/>
      <c r="D35" s="1012"/>
      <c r="E35" s="1009"/>
      <c r="F35" s="1013">
        <v>2017</v>
      </c>
      <c r="G35" s="1013">
        <v>2018</v>
      </c>
      <c r="H35" s="1013">
        <v>2019</v>
      </c>
      <c r="I35" s="900"/>
      <c r="J35" s="901"/>
      <c r="K35" s="902"/>
      <c r="L35" s="902"/>
      <c r="M35" s="902"/>
      <c r="N35" s="902"/>
      <c r="O35" s="902"/>
      <c r="P35" s="902"/>
      <c r="Q35" s="902"/>
      <c r="R35" s="1014"/>
      <c r="S35" s="1015"/>
      <c r="T35" s="1016"/>
      <c r="U35" s="1017"/>
      <c r="V35" s="1014"/>
      <c r="W35" s="1018">
        <v>2017</v>
      </c>
      <c r="X35" s="1018">
        <v>2018</v>
      </c>
      <c r="Y35" s="1019">
        <v>2019</v>
      </c>
    </row>
    <row r="36" spans="1:25" ht="18" customHeight="1">
      <c r="A36" s="1020" t="s">
        <v>524</v>
      </c>
      <c r="B36" s="1021"/>
      <c r="C36" s="1021"/>
      <c r="D36" s="1021"/>
      <c r="E36" s="1021"/>
      <c r="F36" s="1021"/>
      <c r="G36" s="1021"/>
      <c r="H36" s="1022"/>
      <c r="I36" s="900"/>
      <c r="J36" s="901"/>
      <c r="K36" s="902"/>
      <c r="L36" s="902"/>
      <c r="M36" s="902"/>
      <c r="N36" s="902"/>
      <c r="O36" s="902"/>
      <c r="P36" s="902"/>
      <c r="Q36" s="902"/>
      <c r="R36" s="1023" t="s">
        <v>524</v>
      </c>
      <c r="S36" s="1024"/>
      <c r="T36" s="1024"/>
      <c r="U36" s="1024"/>
      <c r="V36" s="1024"/>
      <c r="W36" s="1024"/>
      <c r="X36" s="1024"/>
      <c r="Y36" s="1025"/>
    </row>
    <row r="37" spans="1:25" ht="60" customHeight="1">
      <c r="A37" s="1026">
        <v>1</v>
      </c>
      <c r="B37" s="1020" t="s">
        <v>525</v>
      </c>
      <c r="C37" s="1021"/>
      <c r="D37" s="1022"/>
      <c r="E37" s="1027" t="s">
        <v>246</v>
      </c>
      <c r="F37" s="1028"/>
      <c r="G37" s="1028"/>
      <c r="H37" s="1028"/>
      <c r="I37" s="938"/>
      <c r="J37" s="935"/>
      <c r="R37" s="1029">
        <v>1</v>
      </c>
      <c r="S37" s="1023" t="s">
        <v>525</v>
      </c>
      <c r="T37" s="1024"/>
      <c r="U37" s="1025"/>
      <c r="V37" s="1030" t="s">
        <v>246</v>
      </c>
      <c r="W37" s="1028"/>
      <c r="X37" s="1028"/>
      <c r="Y37" s="1028"/>
    </row>
    <row r="38" spans="1:25" ht="17.25" customHeight="1">
      <c r="A38" s="1026" t="s">
        <v>224</v>
      </c>
      <c r="B38" s="1020" t="s">
        <v>1903</v>
      </c>
      <c r="C38" s="1021"/>
      <c r="D38" s="1022"/>
      <c r="E38" s="1027" t="s">
        <v>310</v>
      </c>
      <c r="F38" s="1031"/>
      <c r="G38" s="1028"/>
      <c r="H38" s="1028"/>
      <c r="I38" s="938"/>
      <c r="J38" s="935"/>
      <c r="R38" s="1029" t="s">
        <v>224</v>
      </c>
      <c r="S38" s="1023" t="s">
        <v>1903</v>
      </c>
      <c r="T38" s="1024"/>
      <c r="U38" s="1025"/>
      <c r="V38" s="1030" t="s">
        <v>310</v>
      </c>
      <c r="W38" s="1032" t="s">
        <v>1904</v>
      </c>
      <c r="X38" s="1033" t="str">
        <f>IF(OR(X37=0,W37=0,),"-",X37/W37)</f>
        <v>-</v>
      </c>
      <c r="Y38" s="1033" t="str">
        <f>IF(OR(Y37=0,X37=0,),"-",Y37/X37)</f>
        <v>-</v>
      </c>
    </row>
    <row r="39" spans="1:25" ht="60" customHeight="1">
      <c r="A39" s="1026">
        <v>2</v>
      </c>
      <c r="B39" s="1020" t="s">
        <v>526</v>
      </c>
      <c r="C39" s="1021"/>
      <c r="D39" s="1022"/>
      <c r="E39" s="1027" t="s">
        <v>246</v>
      </c>
      <c r="F39" s="1028"/>
      <c r="G39" s="1028"/>
      <c r="H39" s="1028"/>
      <c r="I39" s="938"/>
      <c r="J39" s="935"/>
      <c r="R39" s="1029">
        <v>2</v>
      </c>
      <c r="S39" s="1023" t="s">
        <v>526</v>
      </c>
      <c r="T39" s="1024"/>
      <c r="U39" s="1025"/>
      <c r="V39" s="1030" t="s">
        <v>246</v>
      </c>
      <c r="W39" s="1028"/>
      <c r="X39" s="1028"/>
      <c r="Y39" s="1028"/>
    </row>
    <row r="40" spans="1:25" ht="17.25" customHeight="1">
      <c r="A40" s="1026" t="s">
        <v>428</v>
      </c>
      <c r="B40" s="1020" t="s">
        <v>1903</v>
      </c>
      <c r="C40" s="1021"/>
      <c r="D40" s="1022"/>
      <c r="E40" s="1027" t="s">
        <v>310</v>
      </c>
      <c r="F40" s="1031"/>
      <c r="G40" s="1028"/>
      <c r="H40" s="1028"/>
      <c r="I40" s="938"/>
      <c r="J40" s="935"/>
      <c r="R40" s="1029" t="s">
        <v>428</v>
      </c>
      <c r="S40" s="1023" t="s">
        <v>1903</v>
      </c>
      <c r="T40" s="1024"/>
      <c r="U40" s="1025"/>
      <c r="V40" s="1030" t="s">
        <v>310</v>
      </c>
      <c r="W40" s="1032" t="s">
        <v>1904</v>
      </c>
      <c r="X40" s="1033" t="str">
        <f t="shared" ref="X40:Y40" si="1">IF(OR(X39=0,W39=0,),"-",X39/W39)</f>
        <v>-</v>
      </c>
      <c r="Y40" s="1033" t="str">
        <f t="shared" si="1"/>
        <v>-</v>
      </c>
    </row>
    <row r="41" spans="1:25" ht="17.25" customHeight="1">
      <c r="A41" s="1020" t="s">
        <v>527</v>
      </c>
      <c r="B41" s="1021"/>
      <c r="C41" s="1021"/>
      <c r="D41" s="1021"/>
      <c r="E41" s="1021"/>
      <c r="F41" s="1021"/>
      <c r="G41" s="1021"/>
      <c r="H41" s="1022"/>
      <c r="I41" s="938"/>
      <c r="J41" s="935"/>
      <c r="R41" s="1023" t="s">
        <v>527</v>
      </c>
      <c r="S41" s="1024"/>
      <c r="T41" s="1024"/>
      <c r="U41" s="1024"/>
      <c r="V41" s="1024"/>
      <c r="W41" s="1024"/>
      <c r="X41" s="1024"/>
      <c r="Y41" s="1025"/>
    </row>
    <row r="42" spans="1:25" ht="62.25" customHeight="1">
      <c r="A42" s="1026">
        <v>3</v>
      </c>
      <c r="B42" s="1020" t="s">
        <v>528</v>
      </c>
      <c r="C42" s="1021"/>
      <c r="D42" s="1022"/>
      <c r="E42" s="1034" t="s">
        <v>529</v>
      </c>
      <c r="F42" s="1028"/>
      <c r="G42" s="1028"/>
      <c r="H42" s="1028"/>
      <c r="I42" s="938"/>
      <c r="J42" s="935"/>
      <c r="R42" s="1029">
        <v>3</v>
      </c>
      <c r="S42" s="1023" t="s">
        <v>528</v>
      </c>
      <c r="T42" s="1024"/>
      <c r="U42" s="1025"/>
      <c r="V42" s="1035" t="s">
        <v>529</v>
      </c>
      <c r="W42" s="1028"/>
      <c r="X42" s="1028"/>
      <c r="Y42" s="1028"/>
    </row>
    <row r="43" spans="1:25" ht="17.25" customHeight="1">
      <c r="A43" s="1026" t="s">
        <v>232</v>
      </c>
      <c r="B43" s="1020" t="s">
        <v>1903</v>
      </c>
      <c r="C43" s="1021"/>
      <c r="D43" s="1022"/>
      <c r="E43" s="1027" t="s">
        <v>310</v>
      </c>
      <c r="F43" s="1031"/>
      <c r="G43" s="1028"/>
      <c r="H43" s="1028"/>
      <c r="I43" s="938"/>
      <c r="J43" s="935"/>
      <c r="R43" s="1029" t="s">
        <v>232</v>
      </c>
      <c r="S43" s="1023" t="s">
        <v>1903</v>
      </c>
      <c r="T43" s="1024"/>
      <c r="U43" s="1025"/>
      <c r="V43" s="1030" t="s">
        <v>310</v>
      </c>
      <c r="W43" s="1032" t="s">
        <v>1904</v>
      </c>
      <c r="X43" s="1033" t="str">
        <f t="shared" ref="X43:Y43" si="2">IF(OR(X42=0,W42=0,),"-",X42/W42)</f>
        <v>-</v>
      </c>
      <c r="Y43" s="1033" t="str">
        <f t="shared" si="2"/>
        <v>-</v>
      </c>
    </row>
    <row r="44" spans="1:25" ht="17.25" customHeight="1">
      <c r="A44" s="1020" t="s">
        <v>530</v>
      </c>
      <c r="B44" s="1021"/>
      <c r="C44" s="1021"/>
      <c r="D44" s="1021"/>
      <c r="E44" s="1021"/>
      <c r="F44" s="1021"/>
      <c r="G44" s="1021"/>
      <c r="H44" s="1022"/>
      <c r="I44" s="938"/>
      <c r="J44" s="935"/>
      <c r="R44" s="1023" t="s">
        <v>530</v>
      </c>
      <c r="S44" s="1024"/>
      <c r="T44" s="1024"/>
      <c r="U44" s="1024"/>
      <c r="V44" s="1024"/>
      <c r="W44" s="1024"/>
      <c r="X44" s="1024"/>
      <c r="Y44" s="1025"/>
    </row>
    <row r="45" spans="1:25" ht="45" customHeight="1">
      <c r="A45" s="1026" t="s">
        <v>238</v>
      </c>
      <c r="B45" s="1020" t="s">
        <v>531</v>
      </c>
      <c r="C45" s="1021"/>
      <c r="D45" s="1022"/>
      <c r="E45" s="1027" t="s">
        <v>246</v>
      </c>
      <c r="F45" s="1036"/>
      <c r="G45" s="1036"/>
      <c r="H45" s="1036"/>
      <c r="I45" s="938"/>
      <c r="J45" s="935"/>
      <c r="R45" s="1029" t="s">
        <v>238</v>
      </c>
      <c r="S45" s="1023" t="s">
        <v>531</v>
      </c>
      <c r="T45" s="1024"/>
      <c r="U45" s="1025"/>
      <c r="V45" s="1030" t="s">
        <v>246</v>
      </c>
      <c r="W45" s="1037"/>
      <c r="X45" s="1037"/>
      <c r="Y45" s="1037"/>
    </row>
    <row r="46" spans="1:25" ht="17.25" customHeight="1">
      <c r="A46" s="1026" t="s">
        <v>721</v>
      </c>
      <c r="B46" s="1020" t="s">
        <v>1903</v>
      </c>
      <c r="C46" s="1021"/>
      <c r="D46" s="1022"/>
      <c r="E46" s="1027" t="s">
        <v>310</v>
      </c>
      <c r="F46" s="1031"/>
      <c r="G46" s="1028"/>
      <c r="H46" s="1028"/>
      <c r="I46" s="938"/>
      <c r="J46" s="935"/>
      <c r="R46" s="1029" t="s">
        <v>721</v>
      </c>
      <c r="S46" s="1023" t="s">
        <v>1903</v>
      </c>
      <c r="T46" s="1024"/>
      <c r="U46" s="1025"/>
      <c r="V46" s="1030" t="s">
        <v>310</v>
      </c>
      <c r="W46" s="1032" t="s">
        <v>1904</v>
      </c>
      <c r="X46" s="1033" t="str">
        <f t="shared" ref="X46:Y46" si="3">IF(OR(X45=0,W45=0,),"-",X45/W45)</f>
        <v>-</v>
      </c>
      <c r="Y46" s="1033" t="str">
        <f t="shared" si="3"/>
        <v>-</v>
      </c>
    </row>
    <row r="47" spans="1:25" ht="60.75" customHeight="1">
      <c r="A47" s="1026" t="s">
        <v>241</v>
      </c>
      <c r="B47" s="1020" t="s">
        <v>454</v>
      </c>
      <c r="C47" s="1021"/>
      <c r="D47" s="1022"/>
      <c r="E47" s="1034" t="s">
        <v>1905</v>
      </c>
      <c r="F47" s="1036"/>
      <c r="G47" s="1036"/>
      <c r="H47" s="1036"/>
      <c r="I47" s="938"/>
      <c r="J47" s="935"/>
      <c r="R47" s="1029" t="s">
        <v>241</v>
      </c>
      <c r="S47" s="1023" t="s">
        <v>454</v>
      </c>
      <c r="T47" s="1024"/>
      <c r="U47" s="1025"/>
      <c r="V47" s="1035" t="s">
        <v>1905</v>
      </c>
      <c r="W47" s="1037"/>
      <c r="X47" s="1037"/>
      <c r="Y47" s="1037"/>
    </row>
    <row r="48" spans="1:25" ht="17.25" customHeight="1">
      <c r="A48" s="1026" t="s">
        <v>731</v>
      </c>
      <c r="B48" s="1020" t="s">
        <v>1903</v>
      </c>
      <c r="C48" s="1021"/>
      <c r="D48" s="1022"/>
      <c r="E48" s="1027" t="s">
        <v>310</v>
      </c>
      <c r="F48" s="1031"/>
      <c r="G48" s="1028"/>
      <c r="H48" s="1028"/>
      <c r="I48" s="938"/>
      <c r="J48" s="935"/>
      <c r="R48" s="1029" t="s">
        <v>731</v>
      </c>
      <c r="S48" s="1023" t="s">
        <v>1903</v>
      </c>
      <c r="T48" s="1024"/>
      <c r="U48" s="1025"/>
      <c r="V48" s="1030" t="s">
        <v>310</v>
      </c>
      <c r="W48" s="1032" t="s">
        <v>1904</v>
      </c>
      <c r="X48" s="1033" t="str">
        <f t="shared" ref="X48:Y48" si="4">IF(OR(X47=0,W47=0,),"-",X47/W47)</f>
        <v>-</v>
      </c>
      <c r="Y48" s="1033" t="str">
        <f t="shared" si="4"/>
        <v>-</v>
      </c>
    </row>
    <row r="49" spans="1:25" ht="59.25" customHeight="1">
      <c r="A49" s="1026" t="s">
        <v>243</v>
      </c>
      <c r="B49" s="1020" t="s">
        <v>455</v>
      </c>
      <c r="C49" s="1021"/>
      <c r="D49" s="1022"/>
      <c r="E49" s="1034" t="s">
        <v>1906</v>
      </c>
      <c r="F49" s="1036"/>
      <c r="G49" s="1036"/>
      <c r="H49" s="1036"/>
      <c r="I49" s="938"/>
      <c r="J49" s="935"/>
      <c r="R49" s="1029" t="s">
        <v>243</v>
      </c>
      <c r="S49" s="1023" t="s">
        <v>455</v>
      </c>
      <c r="T49" s="1024"/>
      <c r="U49" s="1025"/>
      <c r="V49" s="1035" t="s">
        <v>1906</v>
      </c>
      <c r="W49" s="1037"/>
      <c r="X49" s="1037"/>
      <c r="Y49" s="1037"/>
    </row>
    <row r="50" spans="1:25" ht="17.25" customHeight="1" thickBot="1">
      <c r="A50" s="1026" t="s">
        <v>406</v>
      </c>
      <c r="B50" s="1038" t="s">
        <v>1903</v>
      </c>
      <c r="C50" s="1039"/>
      <c r="D50" s="1040"/>
      <c r="E50" s="1027" t="s">
        <v>310</v>
      </c>
      <c r="F50" s="1031"/>
      <c r="G50" s="1028"/>
      <c r="H50" s="1028"/>
      <c r="I50" s="938"/>
      <c r="J50" s="935"/>
      <c r="R50" s="1029" t="s">
        <v>406</v>
      </c>
      <c r="S50" s="1023" t="s">
        <v>1903</v>
      </c>
      <c r="T50" s="1024"/>
      <c r="U50" s="1025"/>
      <c r="V50" s="1030" t="s">
        <v>310</v>
      </c>
      <c r="W50" s="1032" t="s">
        <v>1904</v>
      </c>
      <c r="X50" s="1033" t="str">
        <f t="shared" ref="X50:Y50" si="5">IF(OR(X49=0,W49=0,),"-",X49/W49)</f>
        <v>-</v>
      </c>
      <c r="Y50" s="1033" t="str">
        <f t="shared" si="5"/>
        <v>-</v>
      </c>
    </row>
    <row r="51" spans="1:25" ht="17.25" customHeight="1">
      <c r="A51" s="1041"/>
      <c r="B51" s="1042"/>
      <c r="C51" s="1042"/>
      <c r="D51" s="1042"/>
      <c r="E51" s="1042"/>
      <c r="F51" s="1042"/>
      <c r="G51" s="1042"/>
      <c r="H51" s="1042"/>
      <c r="I51" s="938"/>
      <c r="J51" s="935"/>
      <c r="R51" s="1041"/>
      <c r="S51" s="1043"/>
      <c r="T51" s="1043"/>
      <c r="U51" s="1043"/>
      <c r="V51" s="1043"/>
      <c r="W51" s="1043"/>
      <c r="X51" s="1043"/>
      <c r="Y51" s="1043"/>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49"/>
  <sheetViews>
    <sheetView topLeftCell="A8" zoomScale="90" zoomScaleNormal="90" workbookViewId="0">
      <selection sqref="A1:J15"/>
    </sheetView>
  </sheetViews>
  <sheetFormatPr defaultColWidth="9.140625" defaultRowHeight="15.75"/>
  <cols>
    <col min="1" max="1" width="9.140625" style="417"/>
    <col min="2" max="2" width="71.7109375" style="417" customWidth="1"/>
    <col min="3" max="3" width="22" style="417" customWidth="1"/>
    <col min="4" max="4" width="18.5703125" style="417" customWidth="1"/>
    <col min="5" max="5" width="17.42578125" style="417" customWidth="1"/>
    <col min="6" max="6" width="15.7109375" style="417" customWidth="1"/>
    <col min="7" max="7" width="16.42578125" style="417" customWidth="1"/>
    <col min="8" max="8" width="17.42578125" style="417" customWidth="1"/>
    <col min="9" max="9" width="16.28515625" style="417" customWidth="1"/>
    <col min="10" max="16384" width="9.140625" style="417"/>
  </cols>
  <sheetData>
    <row r="1" spans="1:11" ht="42" customHeight="1">
      <c r="A1" s="1626" t="s">
        <v>1805</v>
      </c>
      <c r="B1" s="1626"/>
      <c r="C1" s="1626"/>
      <c r="D1" s="234"/>
      <c r="E1" s="234"/>
      <c r="F1" s="234"/>
      <c r="G1" s="234"/>
      <c r="H1" s="234"/>
      <c r="I1" s="234"/>
    </row>
    <row r="2" spans="1:11">
      <c r="A2" s="234"/>
      <c r="B2" s="234"/>
      <c r="C2" s="234"/>
      <c r="D2" s="234"/>
      <c r="E2" s="234"/>
      <c r="F2" s="234"/>
      <c r="G2" s="234"/>
      <c r="H2" s="234"/>
      <c r="I2" s="234"/>
    </row>
    <row r="3" spans="1:11">
      <c r="A3" s="1621" t="s">
        <v>1014</v>
      </c>
      <c r="B3" s="1621"/>
      <c r="C3" s="1621"/>
      <c r="D3" s="234"/>
      <c r="E3" s="234"/>
      <c r="F3" s="234"/>
      <c r="G3" s="234"/>
      <c r="H3" s="234"/>
      <c r="I3" s="234"/>
    </row>
    <row r="4" spans="1:11">
      <c r="A4" s="1622" t="s">
        <v>1015</v>
      </c>
      <c r="B4" s="1622"/>
      <c r="C4" s="1622"/>
      <c r="D4" s="234"/>
      <c r="E4" s="234"/>
      <c r="F4" s="234"/>
      <c r="G4" s="234"/>
      <c r="H4" s="234"/>
      <c r="I4" s="234"/>
    </row>
    <row r="5" spans="1:11">
      <c r="A5" s="126"/>
      <c r="B5" s="126"/>
      <c r="C5" s="126"/>
      <c r="D5" s="234"/>
      <c r="E5" s="234"/>
      <c r="F5" s="234"/>
      <c r="G5" s="234"/>
      <c r="H5" s="234"/>
      <c r="I5" s="234"/>
    </row>
    <row r="6" spans="1:11">
      <c r="A6" s="607" t="s">
        <v>199</v>
      </c>
      <c r="B6" s="100" t="s">
        <v>1015</v>
      </c>
      <c r="C6" s="126"/>
      <c r="D6" s="234"/>
      <c r="E6" s="234"/>
      <c r="F6" s="234"/>
      <c r="G6" s="234"/>
      <c r="H6" s="234"/>
      <c r="I6" s="234"/>
    </row>
    <row r="7" spans="1:11">
      <c r="A7" s="98" t="s">
        <v>200</v>
      </c>
      <c r="B7" s="100" t="s">
        <v>1015</v>
      </c>
      <c r="C7" s="126"/>
      <c r="D7" s="234"/>
      <c r="E7" s="234"/>
      <c r="F7" s="234"/>
      <c r="G7" s="234"/>
      <c r="H7" s="234"/>
      <c r="I7" s="234"/>
    </row>
    <row r="8" spans="1:11">
      <c r="A8" s="234"/>
      <c r="B8" s="234"/>
      <c r="C8" s="450" t="s">
        <v>588</v>
      </c>
      <c r="D8" s="234"/>
      <c r="E8" s="234"/>
      <c r="F8" s="234"/>
      <c r="G8" s="234"/>
      <c r="H8" s="234"/>
      <c r="I8" s="234"/>
    </row>
    <row r="9" spans="1:11">
      <c r="A9" s="1717" t="s">
        <v>183</v>
      </c>
      <c r="B9" s="1717" t="s">
        <v>308</v>
      </c>
      <c r="C9" s="1719" t="s">
        <v>217</v>
      </c>
      <c r="D9" s="1719"/>
      <c r="E9" s="1719"/>
      <c r="F9" s="1719"/>
      <c r="G9" s="1719"/>
      <c r="H9" s="1719"/>
      <c r="I9" s="1719"/>
      <c r="J9" s="449"/>
      <c r="K9" s="449"/>
    </row>
    <row r="10" spans="1:11" ht="76.5" customHeight="1">
      <c r="A10" s="1718"/>
      <c r="B10" s="1718"/>
      <c r="C10" s="176" t="s">
        <v>290</v>
      </c>
      <c r="D10" s="609" t="s">
        <v>641</v>
      </c>
      <c r="E10" s="609" t="s">
        <v>545</v>
      </c>
      <c r="F10" s="424" t="s">
        <v>398</v>
      </c>
      <c r="G10" s="424" t="s">
        <v>399</v>
      </c>
      <c r="H10" s="1720" t="s">
        <v>955</v>
      </c>
      <c r="I10" s="1720"/>
      <c r="J10" s="449"/>
      <c r="K10" s="449"/>
    </row>
    <row r="11" spans="1:11" ht="24" customHeight="1">
      <c r="A11" s="451" t="s">
        <v>611</v>
      </c>
      <c r="B11" s="426" t="s">
        <v>612</v>
      </c>
      <c r="C11" s="763"/>
      <c r="D11" s="763"/>
      <c r="E11" s="763"/>
      <c r="F11" s="763"/>
      <c r="G11" s="763"/>
      <c r="H11" s="763"/>
      <c r="I11" s="763"/>
      <c r="J11" s="449"/>
      <c r="K11" s="449"/>
    </row>
    <row r="12" spans="1:11" ht="15.75" customHeight="1">
      <c r="A12" s="374" t="s">
        <v>222</v>
      </c>
      <c r="B12" s="375" t="s">
        <v>613</v>
      </c>
      <c r="C12" s="764"/>
      <c r="D12" s="764"/>
      <c r="E12" s="764"/>
      <c r="F12" s="764"/>
      <c r="G12" s="764"/>
      <c r="H12" s="764"/>
      <c r="I12" s="764"/>
    </row>
    <row r="13" spans="1:11">
      <c r="A13" s="377" t="s">
        <v>228</v>
      </c>
      <c r="B13" s="375" t="s">
        <v>638</v>
      </c>
      <c r="C13" s="765"/>
      <c r="D13" s="765"/>
      <c r="E13" s="764"/>
      <c r="F13" s="765"/>
      <c r="G13" s="765"/>
      <c r="H13" s="765"/>
      <c r="I13" s="765"/>
    </row>
    <row r="14" spans="1:11">
      <c r="A14" s="377" t="s">
        <v>230</v>
      </c>
      <c r="B14" s="375" t="s">
        <v>639</v>
      </c>
      <c r="C14" s="765"/>
      <c r="D14" s="765"/>
      <c r="E14" s="764"/>
      <c r="F14" s="765"/>
      <c r="G14" s="765"/>
      <c r="H14" s="765"/>
      <c r="I14" s="765"/>
    </row>
    <row r="15" spans="1:11">
      <c r="A15" s="377" t="s">
        <v>238</v>
      </c>
      <c r="B15" s="375" t="s">
        <v>640</v>
      </c>
      <c r="C15" s="765"/>
      <c r="D15" s="765"/>
      <c r="E15" s="764"/>
      <c r="F15" s="765"/>
      <c r="G15" s="765"/>
      <c r="H15" s="765"/>
      <c r="I15" s="765"/>
    </row>
    <row r="16" spans="1:11">
      <c r="A16" s="451" t="s">
        <v>650</v>
      </c>
      <c r="B16" s="426" t="s">
        <v>644</v>
      </c>
      <c r="C16" s="763"/>
      <c r="D16" s="763"/>
      <c r="E16" s="763"/>
      <c r="F16" s="763"/>
      <c r="G16" s="763"/>
      <c r="H16" s="763"/>
      <c r="I16" s="763"/>
    </row>
    <row r="17" spans="1:9">
      <c r="A17" s="451" t="s">
        <v>651</v>
      </c>
      <c r="B17" s="426" t="s">
        <v>645</v>
      </c>
      <c r="C17" s="763"/>
      <c r="D17" s="763"/>
      <c r="E17" s="763"/>
      <c r="F17" s="763"/>
      <c r="G17" s="763"/>
      <c r="H17" s="763"/>
      <c r="I17" s="763"/>
    </row>
    <row r="18" spans="1:9" ht="31.5">
      <c r="A18" s="378" t="s">
        <v>241</v>
      </c>
      <c r="B18" s="379" t="s">
        <v>652</v>
      </c>
      <c r="C18" s="766"/>
      <c r="D18" s="766"/>
      <c r="E18" s="766"/>
      <c r="F18" s="766"/>
      <c r="G18" s="766"/>
      <c r="H18" s="766"/>
      <c r="I18" s="766"/>
    </row>
    <row r="19" spans="1:9">
      <c r="A19" s="377" t="s">
        <v>516</v>
      </c>
      <c r="B19" s="375" t="s">
        <v>653</v>
      </c>
      <c r="C19" s="765"/>
      <c r="D19" s="765"/>
      <c r="E19" s="765"/>
      <c r="F19" s="765"/>
      <c r="G19" s="765"/>
      <c r="H19" s="765"/>
      <c r="I19" s="765"/>
    </row>
    <row r="20" spans="1:9">
      <c r="A20" s="377" t="s">
        <v>517</v>
      </c>
      <c r="B20" s="375" t="s">
        <v>654</v>
      </c>
      <c r="C20" s="765"/>
      <c r="D20" s="765"/>
      <c r="E20" s="765"/>
      <c r="F20" s="765"/>
      <c r="G20" s="765"/>
      <c r="H20" s="765"/>
      <c r="I20" s="765"/>
    </row>
    <row r="21" spans="1:9">
      <c r="A21" s="377" t="s">
        <v>655</v>
      </c>
      <c r="B21" s="375" t="s">
        <v>656</v>
      </c>
      <c r="C21" s="765"/>
      <c r="D21" s="765"/>
      <c r="E21" s="765"/>
      <c r="F21" s="765"/>
      <c r="G21" s="765"/>
      <c r="H21" s="765"/>
      <c r="I21" s="765"/>
    </row>
    <row r="22" spans="1:9">
      <c r="A22" s="377" t="s">
        <v>657</v>
      </c>
      <c r="B22" s="375" t="s">
        <v>658</v>
      </c>
      <c r="C22" s="765"/>
      <c r="D22" s="765"/>
      <c r="E22" s="765"/>
      <c r="F22" s="765"/>
      <c r="G22" s="765"/>
      <c r="H22" s="765"/>
      <c r="I22" s="765"/>
    </row>
    <row r="23" spans="1:9">
      <c r="A23" s="377" t="s">
        <v>659</v>
      </c>
      <c r="B23" s="375" t="s">
        <v>660</v>
      </c>
      <c r="C23" s="765"/>
      <c r="D23" s="765"/>
      <c r="E23" s="765"/>
      <c r="F23" s="765"/>
      <c r="G23" s="765"/>
      <c r="H23" s="765"/>
      <c r="I23" s="765"/>
    </row>
    <row r="24" spans="1:9">
      <c r="A24" s="428" t="s">
        <v>207</v>
      </c>
      <c r="B24" s="379" t="s">
        <v>507</v>
      </c>
      <c r="C24" s="766"/>
      <c r="D24" s="766"/>
      <c r="E24" s="766"/>
      <c r="F24" s="766"/>
      <c r="G24" s="766"/>
      <c r="H24" s="766"/>
      <c r="I24" s="766"/>
    </row>
    <row r="25" spans="1:9">
      <c r="A25" s="377" t="s">
        <v>196</v>
      </c>
      <c r="B25" s="375" t="s">
        <v>661</v>
      </c>
      <c r="C25" s="765"/>
      <c r="D25" s="765"/>
      <c r="E25" s="765"/>
      <c r="F25" s="765"/>
      <c r="G25" s="765"/>
      <c r="H25" s="765"/>
      <c r="I25" s="765"/>
    </row>
    <row r="26" spans="1:9">
      <c r="A26" s="377" t="s">
        <v>197</v>
      </c>
      <c r="B26" s="375" t="s">
        <v>662</v>
      </c>
      <c r="C26" s="765"/>
      <c r="D26" s="765"/>
      <c r="E26" s="765"/>
      <c r="F26" s="765"/>
      <c r="G26" s="765"/>
      <c r="H26" s="765"/>
      <c r="I26" s="765"/>
    </row>
    <row r="27" spans="1:9">
      <c r="A27" s="377" t="s">
        <v>198</v>
      </c>
      <c r="B27" s="375" t="s">
        <v>663</v>
      </c>
      <c r="C27" s="765"/>
      <c r="D27" s="765"/>
      <c r="E27" s="765"/>
      <c r="F27" s="765"/>
      <c r="G27" s="765"/>
      <c r="H27" s="765"/>
      <c r="I27" s="765"/>
    </row>
    <row r="28" spans="1:9">
      <c r="A28" s="377" t="s">
        <v>208</v>
      </c>
      <c r="B28" s="375" t="s">
        <v>664</v>
      </c>
      <c r="C28" s="765"/>
      <c r="D28" s="765"/>
      <c r="E28" s="765"/>
      <c r="F28" s="765"/>
      <c r="G28" s="765"/>
      <c r="H28" s="765"/>
      <c r="I28" s="765"/>
    </row>
    <row r="29" spans="1:9">
      <c r="A29" s="377" t="s">
        <v>209</v>
      </c>
      <c r="B29" s="375" t="s">
        <v>665</v>
      </c>
      <c r="C29" s="765"/>
      <c r="D29" s="765"/>
      <c r="E29" s="765"/>
      <c r="F29" s="765"/>
      <c r="G29" s="765"/>
      <c r="H29" s="765"/>
      <c r="I29" s="765"/>
    </row>
    <row r="30" spans="1:9">
      <c r="A30" s="377" t="s">
        <v>210</v>
      </c>
      <c r="B30" s="375" t="s">
        <v>666</v>
      </c>
      <c r="C30" s="765"/>
      <c r="D30" s="765"/>
      <c r="E30" s="765"/>
      <c r="F30" s="765"/>
      <c r="G30" s="765"/>
      <c r="H30" s="765"/>
      <c r="I30" s="765"/>
    </row>
    <row r="31" spans="1:9">
      <c r="A31" s="377" t="s">
        <v>211</v>
      </c>
      <c r="B31" s="375" t="s">
        <v>667</v>
      </c>
      <c r="C31" s="765"/>
      <c r="D31" s="765"/>
      <c r="E31" s="765"/>
      <c r="F31" s="765"/>
      <c r="G31" s="765"/>
      <c r="H31" s="765"/>
      <c r="I31" s="765"/>
    </row>
    <row r="32" spans="1:9">
      <c r="A32" s="428" t="s">
        <v>212</v>
      </c>
      <c r="B32" s="379" t="s">
        <v>668</v>
      </c>
      <c r="C32" s="766"/>
      <c r="D32" s="766"/>
      <c r="E32" s="766"/>
      <c r="F32" s="766"/>
      <c r="G32" s="766"/>
      <c r="H32" s="766"/>
      <c r="I32" s="766"/>
    </row>
    <row r="33" spans="1:9">
      <c r="A33" s="428" t="s">
        <v>324</v>
      </c>
      <c r="B33" s="379" t="s">
        <v>669</v>
      </c>
      <c r="C33" s="766"/>
      <c r="D33" s="766"/>
      <c r="E33" s="766"/>
      <c r="F33" s="766"/>
      <c r="G33" s="766"/>
      <c r="H33" s="766"/>
      <c r="I33" s="766"/>
    </row>
    <row r="34" spans="1:9">
      <c r="A34" s="428" t="s">
        <v>317</v>
      </c>
      <c r="B34" s="379" t="s">
        <v>670</v>
      </c>
      <c r="C34" s="766"/>
      <c r="D34" s="766"/>
      <c r="E34" s="766"/>
      <c r="F34" s="766"/>
      <c r="G34" s="766"/>
      <c r="H34" s="766"/>
      <c r="I34" s="766"/>
    </row>
    <row r="35" spans="1:9">
      <c r="A35" s="428" t="s">
        <v>328</v>
      </c>
      <c r="B35" s="379" t="s">
        <v>671</v>
      </c>
      <c r="C35" s="766"/>
      <c r="D35" s="766"/>
      <c r="E35" s="766"/>
      <c r="F35" s="766"/>
      <c r="G35" s="766"/>
      <c r="H35" s="766"/>
      <c r="I35" s="766"/>
    </row>
    <row r="36" spans="1:9">
      <c r="A36" s="428" t="s">
        <v>330</v>
      </c>
      <c r="B36" s="379" t="s">
        <v>672</v>
      </c>
      <c r="C36" s="766"/>
      <c r="D36" s="766"/>
      <c r="E36" s="766"/>
      <c r="F36" s="766"/>
      <c r="G36" s="766"/>
      <c r="H36" s="766"/>
      <c r="I36" s="766"/>
    </row>
    <row r="37" spans="1:9">
      <c r="A37" s="428" t="s">
        <v>338</v>
      </c>
      <c r="B37" s="379" t="s">
        <v>673</v>
      </c>
      <c r="C37" s="766"/>
      <c r="D37" s="766"/>
      <c r="E37" s="766"/>
      <c r="F37" s="766"/>
      <c r="G37" s="766"/>
      <c r="H37" s="766"/>
      <c r="I37" s="766"/>
    </row>
    <row r="38" spans="1:9">
      <c r="A38" s="451" t="s">
        <v>674</v>
      </c>
      <c r="B38" s="426" t="s">
        <v>646</v>
      </c>
      <c r="C38" s="763"/>
      <c r="D38" s="763"/>
      <c r="E38" s="763"/>
      <c r="F38" s="763"/>
      <c r="G38" s="763"/>
      <c r="H38" s="763"/>
      <c r="I38" s="763"/>
    </row>
    <row r="39" spans="1:9">
      <c r="A39" s="451" t="s">
        <v>675</v>
      </c>
      <c r="B39" s="426" t="s">
        <v>647</v>
      </c>
      <c r="C39" s="763"/>
      <c r="D39" s="763"/>
      <c r="E39" s="763"/>
      <c r="F39" s="763"/>
      <c r="G39" s="763"/>
      <c r="H39" s="763"/>
      <c r="I39" s="763"/>
    </row>
    <row r="40" spans="1:9" ht="31.5">
      <c r="A40" s="451" t="s">
        <v>680</v>
      </c>
      <c r="B40" s="426" t="s">
        <v>778</v>
      </c>
      <c r="C40" s="763"/>
      <c r="D40" s="763"/>
      <c r="E40" s="763"/>
      <c r="F40" s="763"/>
      <c r="G40" s="763"/>
      <c r="H40" s="763"/>
      <c r="I40" s="763"/>
    </row>
    <row r="41" spans="1:9" ht="31.5">
      <c r="A41" s="451" t="s">
        <v>681</v>
      </c>
      <c r="B41" s="426" t="s">
        <v>940</v>
      </c>
      <c r="C41" s="767"/>
      <c r="D41" s="763"/>
      <c r="E41" s="763"/>
      <c r="F41" s="763"/>
      <c r="G41" s="763"/>
      <c r="H41" s="763"/>
      <c r="I41" s="763"/>
    </row>
    <row r="42" spans="1:9">
      <c r="A42" s="451" t="s">
        <v>684</v>
      </c>
      <c r="B42" s="426" t="s">
        <v>934</v>
      </c>
      <c r="C42" s="763"/>
      <c r="D42" s="763"/>
      <c r="E42" s="763"/>
      <c r="F42" s="763"/>
      <c r="G42" s="763"/>
      <c r="H42" s="763"/>
      <c r="I42" s="763"/>
    </row>
    <row r="43" spans="1:9">
      <c r="A43" s="451" t="s">
        <v>941</v>
      </c>
      <c r="B43" s="426" t="s">
        <v>942</v>
      </c>
      <c r="C43" s="768"/>
      <c r="D43" s="763"/>
      <c r="E43" s="763"/>
      <c r="F43" s="763"/>
      <c r="G43" s="763"/>
      <c r="H43" s="763"/>
      <c r="I43" s="763"/>
    </row>
    <row r="44" spans="1:9">
      <c r="A44" s="453"/>
      <c r="B44" s="454" t="s">
        <v>943</v>
      </c>
      <c r="C44" s="768"/>
      <c r="D44" s="769"/>
      <c r="E44" s="769"/>
      <c r="F44" s="769"/>
      <c r="G44" s="769"/>
      <c r="H44" s="769"/>
      <c r="I44" s="769"/>
    </row>
    <row r="45" spans="1:9">
      <c r="A45" s="453"/>
      <c r="B45" s="455" t="s">
        <v>944</v>
      </c>
      <c r="C45" s="769"/>
      <c r="D45" s="769"/>
      <c r="E45" s="769"/>
      <c r="F45" s="769"/>
      <c r="G45" s="769"/>
      <c r="H45" s="769"/>
      <c r="I45" s="769"/>
    </row>
    <row r="46" spans="1:9">
      <c r="A46" s="451" t="s">
        <v>945</v>
      </c>
      <c r="B46" s="426" t="s">
        <v>946</v>
      </c>
      <c r="C46" s="763"/>
      <c r="D46" s="763"/>
      <c r="E46" s="763"/>
      <c r="F46" s="763"/>
      <c r="G46" s="763"/>
      <c r="H46" s="763"/>
      <c r="I46" s="763"/>
    </row>
    <row r="47" spans="1:9">
      <c r="A47" s="453"/>
      <c r="B47" s="456" t="s">
        <v>947</v>
      </c>
      <c r="C47" s="769"/>
      <c r="D47" s="769"/>
      <c r="E47" s="769"/>
      <c r="F47" s="769"/>
      <c r="G47" s="769"/>
      <c r="H47" s="769"/>
      <c r="I47" s="769"/>
    </row>
    <row r="48" spans="1:9">
      <c r="A48" s="453"/>
      <c r="B48" s="456" t="s">
        <v>1586</v>
      </c>
      <c r="C48" s="769"/>
      <c r="D48" s="769"/>
      <c r="E48" s="769"/>
      <c r="F48" s="769"/>
      <c r="G48" s="769"/>
      <c r="H48" s="769"/>
      <c r="I48" s="769"/>
    </row>
    <row r="49" spans="1:9">
      <c r="A49" s="451" t="s">
        <v>948</v>
      </c>
      <c r="B49" s="426" t="s">
        <v>949</v>
      </c>
      <c r="C49" s="770"/>
      <c r="D49" s="770"/>
      <c r="E49" s="770"/>
      <c r="F49" s="770"/>
      <c r="G49" s="770"/>
      <c r="H49" s="770"/>
      <c r="I49" s="770"/>
    </row>
  </sheetData>
  <mergeCells count="7">
    <mergeCell ref="A1:C1"/>
    <mergeCell ref="A3:C3"/>
    <mergeCell ref="A4:C4"/>
    <mergeCell ref="A9:A10"/>
    <mergeCell ref="B9:B10"/>
    <mergeCell ref="C9:I9"/>
    <mergeCell ref="H10:I10"/>
  </mergeCells>
  <pageMargins left="0.70866141732283472" right="0.70866141732283472" top="0.74803149606299213" bottom="0.74803149606299213" header="0.31496062992125984" footer="0.31496062992125984"/>
  <pageSetup paperSize="9" scale="4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190"/>
  <sheetViews>
    <sheetView topLeftCell="A97" workbookViewId="0">
      <selection sqref="A1:J15"/>
    </sheetView>
  </sheetViews>
  <sheetFormatPr defaultRowHeight="15"/>
  <cols>
    <col min="1" max="1" width="13" style="853" customWidth="1"/>
    <col min="2" max="2" width="52.5703125" style="850" customWidth="1"/>
    <col min="3" max="5" width="25.42578125" style="850" customWidth="1"/>
  </cols>
  <sheetData>
    <row r="1" spans="1:5">
      <c r="A1"/>
      <c r="B1"/>
      <c r="C1"/>
      <c r="D1"/>
      <c r="E1"/>
    </row>
    <row r="2" spans="1:5">
      <c r="A2"/>
      <c r="B2"/>
      <c r="C2"/>
      <c r="D2"/>
      <c r="E2"/>
    </row>
    <row r="3" spans="1:5">
      <c r="A3"/>
      <c r="B3"/>
      <c r="C3"/>
      <c r="D3"/>
      <c r="E3"/>
    </row>
    <row r="4" spans="1:5" ht="26.25">
      <c r="A4" s="847"/>
      <c r="B4" s="860"/>
      <c r="C4" s="820"/>
      <c r="D4" s="820"/>
      <c r="E4" s="820"/>
    </row>
    <row r="5" spans="1:5" ht="15.75">
      <c r="A5" s="861"/>
      <c r="B5" s="862"/>
      <c r="C5" s="863"/>
      <c r="D5" s="863"/>
      <c r="E5" s="863"/>
    </row>
    <row r="6" spans="1:5">
      <c r="A6" s="1721" t="s">
        <v>183</v>
      </c>
      <c r="B6" s="1721" t="s">
        <v>1022</v>
      </c>
      <c r="C6"/>
      <c r="D6"/>
      <c r="E6"/>
    </row>
    <row r="7" spans="1:5" ht="31.5">
      <c r="A7" s="1722"/>
      <c r="B7" s="1722"/>
      <c r="C7" s="798" t="s">
        <v>582</v>
      </c>
      <c r="D7" s="798" t="s">
        <v>1863</v>
      </c>
      <c r="E7" s="798" t="s">
        <v>1864</v>
      </c>
    </row>
    <row r="8" spans="1:5" ht="21">
      <c r="A8" s="867" t="s">
        <v>611</v>
      </c>
      <c r="B8" s="804" t="s">
        <v>699</v>
      </c>
      <c r="C8" s="819">
        <f>D8+E8</f>
        <v>0</v>
      </c>
      <c r="D8" s="812"/>
      <c r="E8" s="812"/>
    </row>
    <row r="9" spans="1:5" ht="31.5">
      <c r="A9" s="846" t="s">
        <v>222</v>
      </c>
      <c r="B9" s="845" t="s">
        <v>780</v>
      </c>
      <c r="C9" s="818">
        <f t="shared" ref="C9:C72" si="0">D9+E9</f>
        <v>0</v>
      </c>
      <c r="D9" s="811"/>
      <c r="E9" s="811"/>
    </row>
    <row r="10" spans="1:5" ht="21">
      <c r="A10" s="803" t="s">
        <v>224</v>
      </c>
      <c r="B10" s="856" t="s">
        <v>700</v>
      </c>
      <c r="C10" s="817">
        <f t="shared" si="0"/>
        <v>0</v>
      </c>
      <c r="D10" s="810"/>
      <c r="E10" s="810"/>
    </row>
    <row r="11" spans="1:5" ht="21">
      <c r="A11" s="803" t="s">
        <v>226</v>
      </c>
      <c r="B11" s="844" t="s">
        <v>781</v>
      </c>
      <c r="C11" s="817">
        <f t="shared" si="0"/>
        <v>0</v>
      </c>
      <c r="D11" s="810"/>
      <c r="E11" s="810"/>
    </row>
    <row r="12" spans="1:5" ht="21">
      <c r="A12" s="803" t="s">
        <v>634</v>
      </c>
      <c r="B12" s="858" t="s">
        <v>701</v>
      </c>
      <c r="C12" s="817">
        <f t="shared" si="0"/>
        <v>0</v>
      </c>
      <c r="D12" s="810"/>
      <c r="E12" s="810"/>
    </row>
    <row r="13" spans="1:5" ht="31.5">
      <c r="A13" s="803" t="s">
        <v>636</v>
      </c>
      <c r="B13" s="858" t="s">
        <v>702</v>
      </c>
      <c r="C13" s="816">
        <f t="shared" si="0"/>
        <v>0</v>
      </c>
      <c r="D13" s="809"/>
      <c r="E13" s="809"/>
    </row>
    <row r="14" spans="1:5" ht="21">
      <c r="A14" s="803" t="s">
        <v>703</v>
      </c>
      <c r="B14" s="858" t="s">
        <v>704</v>
      </c>
      <c r="C14" s="817">
        <f t="shared" si="0"/>
        <v>0</v>
      </c>
      <c r="D14" s="810"/>
      <c r="E14" s="810"/>
    </row>
    <row r="15" spans="1:5" ht="21">
      <c r="A15" s="803" t="s">
        <v>705</v>
      </c>
      <c r="B15" s="858" t="s">
        <v>706</v>
      </c>
      <c r="C15" s="817">
        <f t="shared" si="0"/>
        <v>0</v>
      </c>
      <c r="D15" s="810"/>
      <c r="E15" s="810"/>
    </row>
    <row r="16" spans="1:5" ht="31.5">
      <c r="A16" s="803" t="s">
        <v>707</v>
      </c>
      <c r="B16" s="858" t="s">
        <v>708</v>
      </c>
      <c r="C16" s="817">
        <f t="shared" si="0"/>
        <v>0</v>
      </c>
      <c r="D16" s="810"/>
      <c r="E16" s="810"/>
    </row>
    <row r="17" spans="1:5" ht="31.5">
      <c r="A17" s="846" t="s">
        <v>228</v>
      </c>
      <c r="B17" s="845" t="s">
        <v>782</v>
      </c>
      <c r="C17" s="818">
        <f t="shared" si="0"/>
        <v>0</v>
      </c>
      <c r="D17" s="811"/>
      <c r="E17" s="811"/>
    </row>
    <row r="18" spans="1:5" ht="21">
      <c r="A18" s="803" t="s">
        <v>428</v>
      </c>
      <c r="B18" s="844" t="s">
        <v>783</v>
      </c>
      <c r="C18" s="815">
        <f t="shared" si="0"/>
        <v>0</v>
      </c>
      <c r="D18" s="810"/>
      <c r="E18" s="810"/>
    </row>
    <row r="19" spans="1:5" ht="21">
      <c r="A19" s="803" t="s">
        <v>709</v>
      </c>
      <c r="B19" s="843" t="s">
        <v>784</v>
      </c>
      <c r="C19" s="817">
        <f t="shared" si="0"/>
        <v>0</v>
      </c>
      <c r="D19" s="810"/>
      <c r="E19" s="810"/>
    </row>
    <row r="20" spans="1:5" ht="21">
      <c r="A20" s="803" t="s">
        <v>710</v>
      </c>
      <c r="B20" s="843" t="s">
        <v>785</v>
      </c>
      <c r="C20" s="817">
        <f t="shared" si="0"/>
        <v>0</v>
      </c>
      <c r="D20" s="810"/>
      <c r="E20" s="810"/>
    </row>
    <row r="21" spans="1:5" ht="21">
      <c r="A21" s="803" t="s">
        <v>431</v>
      </c>
      <c r="B21" s="844" t="s">
        <v>786</v>
      </c>
      <c r="C21" s="817">
        <f t="shared" si="0"/>
        <v>0</v>
      </c>
      <c r="D21" s="810"/>
      <c r="E21" s="810"/>
    </row>
    <row r="22" spans="1:5" ht="21">
      <c r="A22" s="803" t="s">
        <v>433</v>
      </c>
      <c r="B22" s="844" t="s">
        <v>787</v>
      </c>
      <c r="C22" s="817">
        <f t="shared" si="0"/>
        <v>0</v>
      </c>
      <c r="D22" s="810"/>
      <c r="E22" s="810"/>
    </row>
    <row r="23" spans="1:5" ht="21">
      <c r="A23" s="803" t="s">
        <v>711</v>
      </c>
      <c r="B23" s="842" t="s">
        <v>788</v>
      </c>
      <c r="C23" s="817">
        <f t="shared" si="0"/>
        <v>0</v>
      </c>
      <c r="D23" s="810"/>
      <c r="E23" s="810"/>
    </row>
    <row r="24" spans="1:5" ht="21">
      <c r="A24" s="803" t="s">
        <v>712</v>
      </c>
      <c r="B24" s="844" t="s">
        <v>789</v>
      </c>
      <c r="C24" s="817">
        <f t="shared" si="0"/>
        <v>0</v>
      </c>
      <c r="D24" s="810"/>
      <c r="E24" s="810"/>
    </row>
    <row r="25" spans="1:5" ht="21">
      <c r="A25" s="803" t="s">
        <v>713</v>
      </c>
      <c r="B25" s="858" t="s">
        <v>714</v>
      </c>
      <c r="C25" s="815">
        <f t="shared" si="0"/>
        <v>0</v>
      </c>
      <c r="D25" s="810"/>
      <c r="E25" s="810"/>
    </row>
    <row r="26" spans="1:5" ht="21">
      <c r="A26" s="803" t="s">
        <v>715</v>
      </c>
      <c r="B26" s="843" t="s">
        <v>790</v>
      </c>
      <c r="C26" s="817">
        <f t="shared" si="0"/>
        <v>0</v>
      </c>
      <c r="D26" s="810"/>
      <c r="E26" s="810"/>
    </row>
    <row r="27" spans="1:5" ht="21">
      <c r="A27" s="803" t="s">
        <v>716</v>
      </c>
      <c r="B27" s="841" t="s">
        <v>791</v>
      </c>
      <c r="C27" s="817">
        <f t="shared" si="0"/>
        <v>0</v>
      </c>
      <c r="D27" s="810"/>
      <c r="E27" s="810"/>
    </row>
    <row r="28" spans="1:5" ht="21">
      <c r="A28" s="803" t="s">
        <v>717</v>
      </c>
      <c r="B28" s="843" t="s">
        <v>792</v>
      </c>
      <c r="C28" s="817">
        <f t="shared" si="0"/>
        <v>0</v>
      </c>
      <c r="D28" s="810"/>
      <c r="E28" s="810"/>
    </row>
    <row r="29" spans="1:5" ht="21">
      <c r="A29" s="803" t="s">
        <v>718</v>
      </c>
      <c r="B29" s="841" t="s">
        <v>791</v>
      </c>
      <c r="C29" s="817">
        <f t="shared" si="0"/>
        <v>0</v>
      </c>
      <c r="D29" s="810"/>
      <c r="E29" s="810"/>
    </row>
    <row r="30" spans="1:5" ht="78.75">
      <c r="A30" s="846" t="s">
        <v>230</v>
      </c>
      <c r="B30" s="845" t="s">
        <v>793</v>
      </c>
      <c r="C30" s="818">
        <f t="shared" si="0"/>
        <v>0</v>
      </c>
      <c r="D30" s="811"/>
      <c r="E30" s="811"/>
    </row>
    <row r="31" spans="1:5" ht="21">
      <c r="A31" s="803" t="s">
        <v>232</v>
      </c>
      <c r="B31" s="844" t="s">
        <v>794</v>
      </c>
      <c r="C31" s="817">
        <f t="shared" si="0"/>
        <v>0</v>
      </c>
      <c r="D31" s="810"/>
      <c r="E31" s="810"/>
    </row>
    <row r="32" spans="1:5" ht="21">
      <c r="A32" s="803" t="s">
        <v>233</v>
      </c>
      <c r="B32" s="844" t="s">
        <v>795</v>
      </c>
      <c r="C32" s="817">
        <f t="shared" si="0"/>
        <v>0</v>
      </c>
      <c r="D32" s="810"/>
      <c r="E32" s="810"/>
    </row>
    <row r="33" spans="1:5" ht="21">
      <c r="A33" s="803" t="s">
        <v>234</v>
      </c>
      <c r="B33" s="844" t="s">
        <v>796</v>
      </c>
      <c r="C33" s="815">
        <f t="shared" si="0"/>
        <v>0</v>
      </c>
      <c r="D33" s="810"/>
      <c r="E33" s="810"/>
    </row>
    <row r="34" spans="1:5" ht="21">
      <c r="A34" s="803" t="s">
        <v>719</v>
      </c>
      <c r="B34" s="843" t="s">
        <v>797</v>
      </c>
      <c r="C34" s="817">
        <f t="shared" si="0"/>
        <v>0</v>
      </c>
      <c r="D34" s="810"/>
      <c r="E34" s="810"/>
    </row>
    <row r="35" spans="1:5" ht="21">
      <c r="A35" s="803" t="s">
        <v>573</v>
      </c>
      <c r="B35" s="843" t="s">
        <v>798</v>
      </c>
      <c r="C35" s="817">
        <f t="shared" si="0"/>
        <v>0</v>
      </c>
      <c r="D35" s="810"/>
      <c r="E35" s="810"/>
    </row>
    <row r="36" spans="1:5" ht="31.5">
      <c r="A36" s="846" t="s">
        <v>238</v>
      </c>
      <c r="B36" s="845" t="s">
        <v>720</v>
      </c>
      <c r="C36" s="818">
        <f t="shared" si="0"/>
        <v>0</v>
      </c>
      <c r="D36" s="811"/>
      <c r="E36" s="811"/>
    </row>
    <row r="37" spans="1:5" ht="21">
      <c r="A37" s="803" t="s">
        <v>721</v>
      </c>
      <c r="B37" s="802" t="s">
        <v>799</v>
      </c>
      <c r="C37" s="817">
        <f t="shared" si="0"/>
        <v>0</v>
      </c>
      <c r="D37" s="810"/>
      <c r="E37" s="810"/>
    </row>
    <row r="38" spans="1:5" ht="30">
      <c r="A38" s="803" t="s">
        <v>722</v>
      </c>
      <c r="B38" s="840" t="s">
        <v>800</v>
      </c>
      <c r="C38" s="817">
        <f t="shared" si="0"/>
        <v>0</v>
      </c>
      <c r="D38" s="810"/>
      <c r="E38" s="810"/>
    </row>
    <row r="39" spans="1:5" ht="21">
      <c r="A39" s="803" t="s">
        <v>723</v>
      </c>
      <c r="B39" s="840" t="s">
        <v>926</v>
      </c>
      <c r="C39" s="817">
        <f t="shared" si="0"/>
        <v>0</v>
      </c>
      <c r="D39" s="810"/>
      <c r="E39" s="810"/>
    </row>
    <row r="40" spans="1:5" ht="31.5">
      <c r="A40" s="803" t="s">
        <v>724</v>
      </c>
      <c r="B40" s="839" t="s">
        <v>725</v>
      </c>
      <c r="C40" s="817">
        <f t="shared" si="0"/>
        <v>0</v>
      </c>
      <c r="D40" s="810"/>
      <c r="E40" s="810"/>
    </row>
    <row r="41" spans="1:5" ht="31.5">
      <c r="A41" s="803" t="s">
        <v>726</v>
      </c>
      <c r="B41" s="838" t="s">
        <v>727</v>
      </c>
      <c r="C41" s="817">
        <f t="shared" si="0"/>
        <v>0</v>
      </c>
      <c r="D41" s="810"/>
      <c r="E41" s="810"/>
    </row>
    <row r="42" spans="1:5" ht="31.5">
      <c r="A42" s="803" t="s">
        <v>728</v>
      </c>
      <c r="B42" s="838" t="s">
        <v>729</v>
      </c>
      <c r="C42" s="817">
        <f t="shared" si="0"/>
        <v>0</v>
      </c>
      <c r="D42" s="810"/>
      <c r="E42" s="810"/>
    </row>
    <row r="43" spans="1:5" ht="21">
      <c r="A43" s="846" t="s">
        <v>241</v>
      </c>
      <c r="B43" s="845" t="s">
        <v>730</v>
      </c>
      <c r="C43" s="818">
        <f t="shared" si="0"/>
        <v>0</v>
      </c>
      <c r="D43" s="811"/>
      <c r="E43" s="811"/>
    </row>
    <row r="44" spans="1:5" ht="21">
      <c r="A44" s="846" t="s">
        <v>731</v>
      </c>
      <c r="B44" s="845" t="s">
        <v>801</v>
      </c>
      <c r="C44" s="818">
        <f t="shared" si="0"/>
        <v>0</v>
      </c>
      <c r="D44" s="811"/>
      <c r="E44" s="811"/>
    </row>
    <row r="45" spans="1:5" ht="21">
      <c r="A45" s="837" t="s">
        <v>481</v>
      </c>
      <c r="B45" s="857" t="s">
        <v>802</v>
      </c>
      <c r="C45" s="816">
        <f t="shared" si="0"/>
        <v>0</v>
      </c>
      <c r="D45" s="809"/>
      <c r="E45" s="809"/>
    </row>
    <row r="46" spans="1:5" ht="30">
      <c r="A46" s="837" t="s">
        <v>803</v>
      </c>
      <c r="B46" s="836" t="s">
        <v>804</v>
      </c>
      <c r="C46" s="817">
        <f t="shared" si="0"/>
        <v>0</v>
      </c>
      <c r="D46" s="810"/>
      <c r="E46" s="810"/>
    </row>
    <row r="47" spans="1:5" ht="30">
      <c r="A47" s="837" t="s">
        <v>805</v>
      </c>
      <c r="B47" s="835" t="s">
        <v>806</v>
      </c>
      <c r="C47" s="817">
        <f t="shared" si="0"/>
        <v>0</v>
      </c>
      <c r="D47" s="810"/>
      <c r="E47" s="810"/>
    </row>
    <row r="48" spans="1:5" ht="21">
      <c r="A48" s="837"/>
      <c r="B48" s="835" t="s">
        <v>926</v>
      </c>
      <c r="C48" s="817">
        <f t="shared" si="0"/>
        <v>0</v>
      </c>
      <c r="D48" s="810"/>
      <c r="E48" s="810"/>
    </row>
    <row r="49" spans="1:5" ht="31.5">
      <c r="A49" s="837" t="s">
        <v>807</v>
      </c>
      <c r="B49" s="834" t="s">
        <v>725</v>
      </c>
      <c r="C49" s="817">
        <f t="shared" si="0"/>
        <v>0</v>
      </c>
      <c r="D49" s="810"/>
      <c r="E49" s="810"/>
    </row>
    <row r="50" spans="1:5" ht="21">
      <c r="A50" s="837" t="s">
        <v>808</v>
      </c>
      <c r="B50" s="841" t="s">
        <v>632</v>
      </c>
      <c r="C50" s="817">
        <f t="shared" si="0"/>
        <v>0</v>
      </c>
      <c r="D50" s="810"/>
      <c r="E50" s="810"/>
    </row>
    <row r="51" spans="1:5" ht="21">
      <c r="A51" s="837" t="s">
        <v>483</v>
      </c>
      <c r="B51" s="801" t="s">
        <v>809</v>
      </c>
      <c r="C51" s="816">
        <f t="shared" si="0"/>
        <v>0</v>
      </c>
      <c r="D51" s="809"/>
      <c r="E51" s="809"/>
    </row>
    <row r="52" spans="1:5" ht="30">
      <c r="A52" s="837" t="s">
        <v>810</v>
      </c>
      <c r="B52" s="836" t="s">
        <v>804</v>
      </c>
      <c r="C52" s="817">
        <f t="shared" si="0"/>
        <v>0</v>
      </c>
      <c r="D52" s="810"/>
      <c r="E52" s="810"/>
    </row>
    <row r="53" spans="1:5" ht="30">
      <c r="A53" s="837" t="s">
        <v>811</v>
      </c>
      <c r="B53" s="835" t="s">
        <v>806</v>
      </c>
      <c r="C53" s="817">
        <f t="shared" si="0"/>
        <v>0</v>
      </c>
      <c r="D53" s="810"/>
      <c r="E53" s="810"/>
    </row>
    <row r="54" spans="1:5" ht="21">
      <c r="A54" s="837"/>
      <c r="B54" s="835" t="s">
        <v>926</v>
      </c>
      <c r="C54" s="817">
        <f t="shared" si="0"/>
        <v>0</v>
      </c>
      <c r="D54" s="810"/>
      <c r="E54" s="810"/>
    </row>
    <row r="55" spans="1:5" ht="31.5">
      <c r="A55" s="837" t="s">
        <v>812</v>
      </c>
      <c r="B55" s="834" t="s">
        <v>725</v>
      </c>
      <c r="C55" s="817">
        <f t="shared" si="0"/>
        <v>0</v>
      </c>
      <c r="D55" s="810"/>
      <c r="E55" s="810"/>
    </row>
    <row r="56" spans="1:5" ht="21">
      <c r="A56" s="837" t="s">
        <v>813</v>
      </c>
      <c r="B56" s="841" t="s">
        <v>632</v>
      </c>
      <c r="C56" s="817">
        <f t="shared" si="0"/>
        <v>0</v>
      </c>
      <c r="D56" s="810"/>
      <c r="E56" s="810"/>
    </row>
    <row r="57" spans="1:5" ht="21">
      <c r="A57" s="837" t="s">
        <v>485</v>
      </c>
      <c r="B57" s="843" t="s">
        <v>814</v>
      </c>
      <c r="C57" s="816">
        <f t="shared" si="0"/>
        <v>0</v>
      </c>
      <c r="D57" s="809"/>
      <c r="E57" s="809"/>
    </row>
    <row r="58" spans="1:5" ht="30">
      <c r="A58" s="837" t="s">
        <v>815</v>
      </c>
      <c r="B58" s="836" t="s">
        <v>804</v>
      </c>
      <c r="C58" s="817">
        <f t="shared" si="0"/>
        <v>0</v>
      </c>
      <c r="D58" s="810"/>
      <c r="E58" s="810"/>
    </row>
    <row r="59" spans="1:5" ht="30">
      <c r="A59" s="837" t="s">
        <v>816</v>
      </c>
      <c r="B59" s="835" t="s">
        <v>806</v>
      </c>
      <c r="C59" s="817">
        <f t="shared" si="0"/>
        <v>0</v>
      </c>
      <c r="D59" s="810"/>
      <c r="E59" s="810"/>
    </row>
    <row r="60" spans="1:5" ht="21">
      <c r="A60" s="837"/>
      <c r="B60" s="835" t="s">
        <v>926</v>
      </c>
      <c r="C60" s="817">
        <f t="shared" si="0"/>
        <v>0</v>
      </c>
      <c r="D60" s="810"/>
      <c r="E60" s="810"/>
    </row>
    <row r="61" spans="1:5" ht="31.5">
      <c r="A61" s="837" t="s">
        <v>817</v>
      </c>
      <c r="B61" s="834" t="s">
        <v>725</v>
      </c>
      <c r="C61" s="817">
        <f t="shared" si="0"/>
        <v>0</v>
      </c>
      <c r="D61" s="810"/>
      <c r="E61" s="810"/>
    </row>
    <row r="62" spans="1:5" ht="21">
      <c r="A62" s="837" t="s">
        <v>818</v>
      </c>
      <c r="B62" s="841" t="s">
        <v>632</v>
      </c>
      <c r="C62" s="817">
        <f t="shared" si="0"/>
        <v>0</v>
      </c>
      <c r="D62" s="810"/>
      <c r="E62" s="810"/>
    </row>
    <row r="63" spans="1:5" ht="21">
      <c r="A63" s="837" t="s">
        <v>487</v>
      </c>
      <c r="B63" s="843" t="s">
        <v>819</v>
      </c>
      <c r="C63" s="816">
        <f t="shared" si="0"/>
        <v>0</v>
      </c>
      <c r="D63" s="809"/>
      <c r="E63" s="809"/>
    </row>
    <row r="64" spans="1:5" ht="30">
      <c r="A64" s="837" t="s">
        <v>820</v>
      </c>
      <c r="B64" s="836" t="s">
        <v>804</v>
      </c>
      <c r="C64" s="817">
        <f t="shared" si="0"/>
        <v>0</v>
      </c>
      <c r="D64" s="810"/>
      <c r="E64" s="810"/>
    </row>
    <row r="65" spans="1:5" ht="30">
      <c r="A65" s="837" t="s">
        <v>821</v>
      </c>
      <c r="B65" s="835" t="s">
        <v>806</v>
      </c>
      <c r="C65" s="817">
        <f t="shared" si="0"/>
        <v>0</v>
      </c>
      <c r="D65" s="810"/>
      <c r="E65" s="810"/>
    </row>
    <row r="66" spans="1:5" ht="21">
      <c r="A66" s="837"/>
      <c r="B66" s="835" t="s">
        <v>926</v>
      </c>
      <c r="C66" s="817">
        <f t="shared" si="0"/>
        <v>0</v>
      </c>
      <c r="D66" s="810"/>
      <c r="E66" s="810"/>
    </row>
    <row r="67" spans="1:5" ht="31.5">
      <c r="A67" s="837" t="s">
        <v>822</v>
      </c>
      <c r="B67" s="834" t="s">
        <v>725</v>
      </c>
      <c r="C67" s="817">
        <f t="shared" si="0"/>
        <v>0</v>
      </c>
      <c r="D67" s="810"/>
      <c r="E67" s="810"/>
    </row>
    <row r="68" spans="1:5" ht="21">
      <c r="A68" s="837" t="s">
        <v>823</v>
      </c>
      <c r="B68" s="841" t="s">
        <v>632</v>
      </c>
      <c r="C68" s="817">
        <f t="shared" si="0"/>
        <v>0</v>
      </c>
      <c r="D68" s="810"/>
      <c r="E68" s="810"/>
    </row>
    <row r="69" spans="1:5" ht="21">
      <c r="A69" s="846" t="s">
        <v>732</v>
      </c>
      <c r="B69" s="845" t="s">
        <v>824</v>
      </c>
      <c r="C69" s="818">
        <f t="shared" si="0"/>
        <v>0</v>
      </c>
      <c r="D69" s="811"/>
      <c r="E69" s="811"/>
    </row>
    <row r="70" spans="1:5" ht="21">
      <c r="A70" s="803" t="s">
        <v>493</v>
      </c>
      <c r="B70" s="833" t="s">
        <v>733</v>
      </c>
      <c r="C70" s="817">
        <f t="shared" si="0"/>
        <v>0</v>
      </c>
      <c r="D70" s="810"/>
      <c r="E70" s="810"/>
    </row>
    <row r="71" spans="1:5" ht="21">
      <c r="A71" s="803" t="s">
        <v>495</v>
      </c>
      <c r="B71" s="833" t="s">
        <v>734</v>
      </c>
      <c r="C71" s="817">
        <f t="shared" si="0"/>
        <v>0</v>
      </c>
      <c r="D71" s="810"/>
      <c r="E71" s="810"/>
    </row>
    <row r="72" spans="1:5" ht="21">
      <c r="A72" s="803" t="s">
        <v>735</v>
      </c>
      <c r="B72" s="843" t="s">
        <v>825</v>
      </c>
      <c r="C72" s="817">
        <f t="shared" si="0"/>
        <v>0</v>
      </c>
      <c r="D72" s="810"/>
      <c r="E72" s="810"/>
    </row>
    <row r="73" spans="1:5" ht="21">
      <c r="A73" s="803" t="s">
        <v>736</v>
      </c>
      <c r="B73" s="833" t="s">
        <v>737</v>
      </c>
      <c r="C73" s="817">
        <f t="shared" ref="C73:C136" si="1">D73+E73</f>
        <v>0</v>
      </c>
      <c r="D73" s="810"/>
      <c r="E73" s="810"/>
    </row>
    <row r="74" spans="1:5" ht="21">
      <c r="A74" s="803" t="s">
        <v>738</v>
      </c>
      <c r="B74" s="833" t="s">
        <v>739</v>
      </c>
      <c r="C74" s="817">
        <f t="shared" si="1"/>
        <v>0</v>
      </c>
      <c r="D74" s="810"/>
      <c r="E74" s="810"/>
    </row>
    <row r="75" spans="1:5" ht="21">
      <c r="A75" s="846" t="s">
        <v>740</v>
      </c>
      <c r="B75" s="845" t="s">
        <v>826</v>
      </c>
      <c r="C75" s="817">
        <f t="shared" si="1"/>
        <v>0</v>
      </c>
      <c r="D75" s="810"/>
      <c r="E75" s="810"/>
    </row>
    <row r="76" spans="1:5" ht="31.5">
      <c r="A76" s="846" t="s">
        <v>741</v>
      </c>
      <c r="B76" s="845" t="s">
        <v>827</v>
      </c>
      <c r="C76" s="817">
        <f t="shared" si="1"/>
        <v>0</v>
      </c>
      <c r="D76" s="810"/>
      <c r="E76" s="810"/>
    </row>
    <row r="77" spans="1:5" ht="21">
      <c r="A77" s="846" t="s">
        <v>742</v>
      </c>
      <c r="B77" s="845" t="s">
        <v>743</v>
      </c>
      <c r="C77" s="818">
        <f t="shared" si="1"/>
        <v>0</v>
      </c>
      <c r="D77" s="811"/>
      <c r="E77" s="811"/>
    </row>
    <row r="78" spans="1:5" ht="21">
      <c r="A78" s="803" t="s">
        <v>744</v>
      </c>
      <c r="B78" s="833" t="s">
        <v>745</v>
      </c>
      <c r="C78" s="817">
        <f t="shared" si="1"/>
        <v>0</v>
      </c>
      <c r="D78" s="810"/>
      <c r="E78" s="810"/>
    </row>
    <row r="79" spans="1:5" ht="21">
      <c r="A79" s="803" t="s">
        <v>746</v>
      </c>
      <c r="B79" s="843" t="s">
        <v>1846</v>
      </c>
      <c r="C79" s="817">
        <f t="shared" si="1"/>
        <v>0</v>
      </c>
      <c r="D79" s="810"/>
      <c r="E79" s="810"/>
    </row>
    <row r="80" spans="1:5" ht="21">
      <c r="A80" s="867" t="s">
        <v>650</v>
      </c>
      <c r="B80" s="804" t="s">
        <v>748</v>
      </c>
      <c r="C80" s="814">
        <f t="shared" si="1"/>
        <v>0</v>
      </c>
      <c r="D80" s="811"/>
      <c r="E80" s="811"/>
    </row>
    <row r="81" spans="1:5" ht="47.25">
      <c r="A81" s="803" t="s">
        <v>406</v>
      </c>
      <c r="B81" s="845" t="s">
        <v>828</v>
      </c>
      <c r="C81" s="815">
        <f t="shared" si="1"/>
        <v>0</v>
      </c>
      <c r="D81" s="810"/>
      <c r="E81" s="810"/>
    </row>
    <row r="82" spans="1:5" ht="21">
      <c r="A82" s="803" t="s">
        <v>749</v>
      </c>
      <c r="B82" s="844" t="s">
        <v>829</v>
      </c>
      <c r="C82" s="815">
        <f t="shared" si="1"/>
        <v>0</v>
      </c>
      <c r="D82" s="810"/>
      <c r="E82" s="810"/>
    </row>
    <row r="83" spans="1:5" ht="21">
      <c r="A83" s="803" t="s">
        <v>750</v>
      </c>
      <c r="B83" s="843" t="s">
        <v>830</v>
      </c>
      <c r="C83" s="817">
        <f t="shared" si="1"/>
        <v>0</v>
      </c>
      <c r="D83" s="810"/>
      <c r="E83" s="810"/>
    </row>
    <row r="84" spans="1:5" ht="30">
      <c r="A84" s="837" t="s">
        <v>831</v>
      </c>
      <c r="B84" s="835" t="s">
        <v>806</v>
      </c>
      <c r="C84" s="817">
        <f t="shared" si="1"/>
        <v>0</v>
      </c>
      <c r="D84" s="810"/>
      <c r="E84" s="810"/>
    </row>
    <row r="85" spans="1:5" ht="21">
      <c r="A85" s="837"/>
      <c r="B85" s="835" t="s">
        <v>926</v>
      </c>
      <c r="C85" s="817">
        <f t="shared" si="1"/>
        <v>0</v>
      </c>
      <c r="D85" s="810"/>
      <c r="E85" s="810"/>
    </row>
    <row r="86" spans="1:5" ht="30">
      <c r="A86" s="803" t="s">
        <v>751</v>
      </c>
      <c r="B86" s="840" t="s">
        <v>832</v>
      </c>
      <c r="C86" s="817">
        <f t="shared" si="1"/>
        <v>0</v>
      </c>
      <c r="D86" s="810"/>
      <c r="E86" s="810"/>
    </row>
    <row r="87" spans="1:5" ht="21">
      <c r="A87" s="803" t="s">
        <v>752</v>
      </c>
      <c r="B87" s="843" t="s">
        <v>833</v>
      </c>
      <c r="C87" s="817">
        <f t="shared" si="1"/>
        <v>0</v>
      </c>
      <c r="D87" s="810"/>
      <c r="E87" s="810"/>
    </row>
    <row r="88" spans="1:5" ht="21">
      <c r="A88" s="837" t="s">
        <v>834</v>
      </c>
      <c r="B88" s="843" t="s">
        <v>835</v>
      </c>
      <c r="C88" s="817">
        <f t="shared" si="1"/>
        <v>0</v>
      </c>
      <c r="D88" s="810"/>
      <c r="E88" s="810"/>
    </row>
    <row r="89" spans="1:5" ht="21">
      <c r="A89" s="837" t="s">
        <v>836</v>
      </c>
      <c r="B89" s="843" t="s">
        <v>837</v>
      </c>
      <c r="C89" s="817">
        <f t="shared" si="1"/>
        <v>0</v>
      </c>
      <c r="D89" s="810"/>
      <c r="E89" s="810"/>
    </row>
    <row r="90" spans="1:5" ht="21">
      <c r="A90" s="837" t="s">
        <v>838</v>
      </c>
      <c r="B90" s="843" t="s">
        <v>839</v>
      </c>
      <c r="C90" s="817">
        <f t="shared" si="1"/>
        <v>0</v>
      </c>
      <c r="D90" s="810"/>
      <c r="E90" s="810"/>
    </row>
    <row r="91" spans="1:5" ht="21">
      <c r="A91" s="837" t="s">
        <v>840</v>
      </c>
      <c r="B91" s="843" t="s">
        <v>841</v>
      </c>
      <c r="C91" s="817">
        <f t="shared" si="1"/>
        <v>0</v>
      </c>
      <c r="D91" s="810"/>
      <c r="E91" s="810"/>
    </row>
    <row r="92" spans="1:5" ht="21">
      <c r="A92" s="803" t="s">
        <v>753</v>
      </c>
      <c r="B92" s="844" t="s">
        <v>842</v>
      </c>
      <c r="C92" s="817">
        <f t="shared" si="1"/>
        <v>0</v>
      </c>
      <c r="D92" s="810"/>
      <c r="E92" s="810"/>
    </row>
    <row r="93" spans="1:5" ht="47.25">
      <c r="A93" s="803" t="s">
        <v>500</v>
      </c>
      <c r="B93" s="845" t="s">
        <v>843</v>
      </c>
      <c r="C93" s="815">
        <f t="shared" si="1"/>
        <v>0</v>
      </c>
      <c r="D93" s="810"/>
      <c r="E93" s="810"/>
    </row>
    <row r="94" spans="1:5" ht="21">
      <c r="A94" s="803" t="s">
        <v>754</v>
      </c>
      <c r="B94" s="844" t="s">
        <v>844</v>
      </c>
      <c r="C94" s="817">
        <f t="shared" si="1"/>
        <v>0</v>
      </c>
      <c r="D94" s="810"/>
      <c r="E94" s="810"/>
    </row>
    <row r="95" spans="1:5" ht="21">
      <c r="A95" s="803" t="s">
        <v>755</v>
      </c>
      <c r="B95" s="843" t="s">
        <v>830</v>
      </c>
      <c r="C95" s="817">
        <f t="shared" si="1"/>
        <v>0</v>
      </c>
      <c r="D95" s="810"/>
      <c r="E95" s="810"/>
    </row>
    <row r="96" spans="1:5" ht="30">
      <c r="A96" s="803"/>
      <c r="B96" s="835" t="s">
        <v>806</v>
      </c>
      <c r="C96" s="817">
        <f t="shared" si="1"/>
        <v>0</v>
      </c>
      <c r="D96" s="810"/>
      <c r="E96" s="810"/>
    </row>
    <row r="97" spans="1:5" ht="21">
      <c r="A97" s="803"/>
      <c r="B97" s="835" t="s">
        <v>926</v>
      </c>
      <c r="C97" s="817">
        <f t="shared" si="1"/>
        <v>0</v>
      </c>
      <c r="D97" s="810"/>
      <c r="E97" s="810"/>
    </row>
    <row r="98" spans="1:5" ht="30">
      <c r="A98" s="803" t="s">
        <v>756</v>
      </c>
      <c r="B98" s="840" t="s">
        <v>832</v>
      </c>
      <c r="C98" s="817">
        <f t="shared" si="1"/>
        <v>0</v>
      </c>
      <c r="D98" s="810"/>
      <c r="E98" s="810"/>
    </row>
    <row r="99" spans="1:5" ht="21">
      <c r="A99" s="803" t="s">
        <v>757</v>
      </c>
      <c r="B99" s="843" t="s">
        <v>833</v>
      </c>
      <c r="C99" s="817">
        <f t="shared" si="1"/>
        <v>0</v>
      </c>
      <c r="D99" s="810"/>
      <c r="E99" s="810"/>
    </row>
    <row r="100" spans="1:5" ht="21">
      <c r="A100" s="837" t="s">
        <v>845</v>
      </c>
      <c r="B100" s="843" t="s">
        <v>835</v>
      </c>
      <c r="C100" s="817">
        <f t="shared" si="1"/>
        <v>0</v>
      </c>
      <c r="D100" s="810"/>
      <c r="E100" s="810"/>
    </row>
    <row r="101" spans="1:5" ht="21">
      <c r="A101" s="837" t="s">
        <v>846</v>
      </c>
      <c r="B101" s="843" t="s">
        <v>837</v>
      </c>
      <c r="C101" s="817">
        <f t="shared" si="1"/>
        <v>0</v>
      </c>
      <c r="D101" s="810"/>
      <c r="E101" s="810"/>
    </row>
    <row r="102" spans="1:5" ht="21">
      <c r="A102" s="837" t="s">
        <v>847</v>
      </c>
      <c r="B102" s="843" t="s">
        <v>839</v>
      </c>
      <c r="C102" s="817">
        <f t="shared" si="1"/>
        <v>0</v>
      </c>
      <c r="D102" s="810"/>
      <c r="E102" s="810"/>
    </row>
    <row r="103" spans="1:5" ht="21">
      <c r="A103" s="837" t="s">
        <v>848</v>
      </c>
      <c r="B103" s="843" t="s">
        <v>841</v>
      </c>
      <c r="C103" s="817">
        <f t="shared" si="1"/>
        <v>0</v>
      </c>
      <c r="D103" s="810"/>
      <c r="E103" s="810"/>
    </row>
    <row r="104" spans="1:5" ht="21">
      <c r="A104" s="803" t="s">
        <v>758</v>
      </c>
      <c r="B104" s="844" t="s">
        <v>842</v>
      </c>
      <c r="C104" s="817">
        <f t="shared" si="1"/>
        <v>0</v>
      </c>
      <c r="D104" s="810"/>
      <c r="E104" s="810"/>
    </row>
    <row r="105" spans="1:5" ht="21">
      <c r="A105" s="867" t="s">
        <v>651</v>
      </c>
      <c r="B105" s="804" t="s">
        <v>849</v>
      </c>
      <c r="C105" s="814">
        <f t="shared" si="1"/>
        <v>0</v>
      </c>
      <c r="D105" s="811"/>
      <c r="E105" s="811"/>
    </row>
    <row r="106" spans="1:5" ht="21">
      <c r="A106" s="803" t="s">
        <v>249</v>
      </c>
      <c r="B106" s="844" t="s">
        <v>850</v>
      </c>
      <c r="C106" s="817">
        <f t="shared" si="1"/>
        <v>0</v>
      </c>
      <c r="D106" s="810"/>
      <c r="E106" s="810"/>
    </row>
    <row r="107" spans="1:5" ht="21">
      <c r="A107" s="837" t="s">
        <v>251</v>
      </c>
      <c r="B107" s="844" t="s">
        <v>851</v>
      </c>
      <c r="C107" s="817">
        <f t="shared" si="1"/>
        <v>0</v>
      </c>
      <c r="D107" s="810"/>
      <c r="E107" s="810"/>
    </row>
    <row r="108" spans="1:5" ht="21">
      <c r="A108" s="837" t="s">
        <v>253</v>
      </c>
      <c r="B108" s="858" t="s">
        <v>760</v>
      </c>
      <c r="C108" s="817">
        <f t="shared" si="1"/>
        <v>0</v>
      </c>
      <c r="D108" s="810"/>
      <c r="E108" s="810"/>
    </row>
    <row r="109" spans="1:5" ht="21">
      <c r="A109" s="837" t="s">
        <v>761</v>
      </c>
      <c r="B109" s="858" t="s">
        <v>759</v>
      </c>
      <c r="C109" s="817">
        <f t="shared" si="1"/>
        <v>0</v>
      </c>
      <c r="D109" s="810"/>
      <c r="E109" s="810"/>
    </row>
    <row r="110" spans="1:5" ht="31.5">
      <c r="A110" s="837" t="s">
        <v>852</v>
      </c>
      <c r="B110" s="858" t="s">
        <v>762</v>
      </c>
      <c r="C110" s="817">
        <f t="shared" si="1"/>
        <v>0</v>
      </c>
      <c r="D110" s="810"/>
      <c r="E110" s="810"/>
    </row>
    <row r="111" spans="1:5" ht="21">
      <c r="A111" s="837" t="s">
        <v>854</v>
      </c>
      <c r="B111" s="844" t="s">
        <v>853</v>
      </c>
      <c r="C111" s="817">
        <f t="shared" si="1"/>
        <v>0</v>
      </c>
      <c r="D111" s="810"/>
      <c r="E111" s="810"/>
    </row>
    <row r="112" spans="1:5" ht="21">
      <c r="A112" s="837" t="s">
        <v>1847</v>
      </c>
      <c r="B112" s="858" t="s">
        <v>632</v>
      </c>
      <c r="C112" s="813">
        <f t="shared" si="1"/>
        <v>0</v>
      </c>
      <c r="D112" s="797"/>
      <c r="E112" s="797"/>
    </row>
    <row r="113" spans="1:5" ht="21">
      <c r="A113" s="803"/>
      <c r="B113" s="832">
        <v>0</v>
      </c>
      <c r="C113" s="817">
        <f t="shared" si="1"/>
        <v>0</v>
      </c>
      <c r="D113" s="810"/>
      <c r="E113" s="810"/>
    </row>
    <row r="114" spans="1:5" ht="21">
      <c r="A114" s="803"/>
      <c r="B114" s="832">
        <v>0</v>
      </c>
      <c r="C114" s="817">
        <f t="shared" si="1"/>
        <v>0</v>
      </c>
      <c r="D114" s="810"/>
      <c r="E114" s="810"/>
    </row>
    <row r="115" spans="1:5" ht="21">
      <c r="A115" s="803"/>
      <c r="B115" s="832">
        <v>0</v>
      </c>
      <c r="C115" s="817">
        <f t="shared" si="1"/>
        <v>0</v>
      </c>
      <c r="D115" s="810"/>
      <c r="E115" s="810"/>
    </row>
    <row r="116" spans="1:5" ht="21">
      <c r="A116" s="803"/>
      <c r="B116" s="832">
        <v>0</v>
      </c>
      <c r="C116" s="817">
        <f t="shared" si="1"/>
        <v>0</v>
      </c>
      <c r="D116" s="810"/>
      <c r="E116" s="810"/>
    </row>
    <row r="117" spans="1:5" ht="21">
      <c r="A117" s="803"/>
      <c r="B117" s="831">
        <v>0</v>
      </c>
      <c r="C117" s="817">
        <f t="shared" si="1"/>
        <v>0</v>
      </c>
      <c r="D117" s="810"/>
      <c r="E117" s="810"/>
    </row>
    <row r="118" spans="1:5" ht="21">
      <c r="A118" s="803"/>
      <c r="B118" s="831">
        <v>0</v>
      </c>
      <c r="C118" s="817">
        <f t="shared" si="1"/>
        <v>0</v>
      </c>
      <c r="D118" s="810"/>
      <c r="E118" s="810"/>
    </row>
    <row r="119" spans="1:5" ht="21">
      <c r="A119" s="803"/>
      <c r="B119" s="831">
        <v>0</v>
      </c>
      <c r="C119" s="817">
        <f t="shared" si="1"/>
        <v>0</v>
      </c>
      <c r="D119" s="810"/>
      <c r="E119" s="810"/>
    </row>
    <row r="120" spans="1:5" ht="21">
      <c r="A120" s="803"/>
      <c r="B120" s="831">
        <v>0</v>
      </c>
      <c r="C120" s="817">
        <f t="shared" si="1"/>
        <v>0</v>
      </c>
      <c r="D120" s="810"/>
      <c r="E120" s="810"/>
    </row>
    <row r="121" spans="1:5" ht="21">
      <c r="A121" s="803"/>
      <c r="B121" s="831">
        <v>0</v>
      </c>
      <c r="C121" s="817">
        <f t="shared" si="1"/>
        <v>0</v>
      </c>
      <c r="D121" s="810"/>
      <c r="E121" s="810"/>
    </row>
    <row r="122" spans="1:5" ht="21">
      <c r="A122" s="803"/>
      <c r="B122" s="831">
        <v>0</v>
      </c>
      <c r="C122" s="817">
        <f t="shared" si="1"/>
        <v>0</v>
      </c>
      <c r="D122" s="810"/>
      <c r="E122" s="810"/>
    </row>
    <row r="123" spans="1:5" ht="21">
      <c r="A123" s="803"/>
      <c r="B123" s="831">
        <v>0</v>
      </c>
      <c r="C123" s="817">
        <f t="shared" si="1"/>
        <v>0</v>
      </c>
      <c r="D123" s="810"/>
      <c r="E123" s="810"/>
    </row>
    <row r="124" spans="1:5" ht="21">
      <c r="A124" s="803"/>
      <c r="B124" s="831">
        <v>0</v>
      </c>
      <c r="C124" s="817">
        <f t="shared" si="1"/>
        <v>0</v>
      </c>
      <c r="D124" s="810"/>
      <c r="E124" s="810"/>
    </row>
    <row r="125" spans="1:5" ht="21">
      <c r="A125" s="803"/>
      <c r="B125" s="831">
        <v>0</v>
      </c>
      <c r="C125" s="817">
        <f t="shared" si="1"/>
        <v>0</v>
      </c>
      <c r="D125" s="810"/>
      <c r="E125" s="810"/>
    </row>
    <row r="126" spans="1:5" ht="21">
      <c r="A126" s="803"/>
      <c r="B126" s="831">
        <v>0</v>
      </c>
      <c r="C126" s="817">
        <f t="shared" si="1"/>
        <v>0</v>
      </c>
      <c r="D126" s="810"/>
      <c r="E126" s="810"/>
    </row>
    <row r="127" spans="1:5" ht="21">
      <c r="A127" s="803"/>
      <c r="B127" s="832">
        <v>0</v>
      </c>
      <c r="C127" s="817">
        <f t="shared" si="1"/>
        <v>0</v>
      </c>
      <c r="D127" s="810"/>
      <c r="E127" s="810"/>
    </row>
    <row r="128" spans="1:5" ht="21">
      <c r="A128" s="803"/>
      <c r="B128" s="832">
        <v>0</v>
      </c>
      <c r="C128" s="817">
        <f t="shared" si="1"/>
        <v>0</v>
      </c>
      <c r="D128" s="810"/>
      <c r="E128" s="810"/>
    </row>
    <row r="129" spans="1:5" ht="21">
      <c r="A129" s="803"/>
      <c r="B129" s="832">
        <v>0</v>
      </c>
      <c r="C129" s="817">
        <f t="shared" si="1"/>
        <v>0</v>
      </c>
      <c r="D129" s="810"/>
      <c r="E129" s="810"/>
    </row>
    <row r="130" spans="1:5" ht="21">
      <c r="A130" s="803"/>
      <c r="B130" s="832">
        <v>0</v>
      </c>
      <c r="C130" s="817">
        <f t="shared" si="1"/>
        <v>0</v>
      </c>
      <c r="D130" s="810"/>
      <c r="E130" s="810"/>
    </row>
    <row r="131" spans="1:5" ht="21">
      <c r="A131" s="803"/>
      <c r="B131" s="832">
        <v>0</v>
      </c>
      <c r="C131" s="817">
        <f t="shared" si="1"/>
        <v>0</v>
      </c>
      <c r="D131" s="810"/>
      <c r="E131" s="810"/>
    </row>
    <row r="132" spans="1:5" ht="21">
      <c r="A132" s="803"/>
      <c r="B132" s="830" t="s">
        <v>1845</v>
      </c>
      <c r="C132" s="817">
        <f t="shared" si="1"/>
        <v>0</v>
      </c>
      <c r="D132" s="810"/>
      <c r="E132" s="810"/>
    </row>
    <row r="133" spans="1:5" ht="21">
      <c r="A133" s="867" t="s">
        <v>674</v>
      </c>
      <c r="B133" s="804" t="s">
        <v>855</v>
      </c>
      <c r="C133" s="814">
        <f t="shared" si="1"/>
        <v>0</v>
      </c>
      <c r="D133" s="811"/>
      <c r="E133" s="811"/>
    </row>
    <row r="134" spans="1:5" ht="31.5">
      <c r="A134" s="837" t="s">
        <v>267</v>
      </c>
      <c r="B134" s="839" t="s">
        <v>804</v>
      </c>
      <c r="C134" s="817">
        <f t="shared" si="1"/>
        <v>0</v>
      </c>
      <c r="D134" s="810"/>
      <c r="E134" s="810"/>
    </row>
    <row r="135" spans="1:5" ht="31.5">
      <c r="A135" s="837" t="s">
        <v>856</v>
      </c>
      <c r="B135" s="838" t="s">
        <v>806</v>
      </c>
      <c r="C135" s="817">
        <f t="shared" si="1"/>
        <v>0</v>
      </c>
      <c r="D135" s="810"/>
      <c r="E135" s="810"/>
    </row>
    <row r="136" spans="1:5" ht="21">
      <c r="A136" s="837"/>
      <c r="B136" s="840" t="s">
        <v>926</v>
      </c>
      <c r="C136" s="817">
        <f t="shared" si="1"/>
        <v>0</v>
      </c>
      <c r="D136" s="810"/>
      <c r="E136" s="810"/>
    </row>
    <row r="137" spans="1:5" ht="31.5">
      <c r="A137" s="837" t="s">
        <v>268</v>
      </c>
      <c r="B137" s="839" t="s">
        <v>725</v>
      </c>
      <c r="C137" s="817">
        <f t="shared" ref="C137:C181" si="2">D137+E137</f>
        <v>0</v>
      </c>
      <c r="D137" s="810"/>
      <c r="E137" s="810"/>
    </row>
    <row r="138" spans="1:5" ht="21">
      <c r="A138" s="837" t="s">
        <v>269</v>
      </c>
      <c r="B138" s="830" t="s">
        <v>632</v>
      </c>
      <c r="C138" s="817">
        <f t="shared" si="2"/>
        <v>0</v>
      </c>
      <c r="D138" s="810"/>
      <c r="E138" s="810"/>
    </row>
    <row r="139" spans="1:5" ht="21">
      <c r="A139" s="829"/>
      <c r="B139" s="832">
        <v>0</v>
      </c>
      <c r="C139" s="817">
        <f t="shared" si="2"/>
        <v>0</v>
      </c>
      <c r="D139" s="810"/>
      <c r="E139" s="810"/>
    </row>
    <row r="140" spans="1:5" ht="21">
      <c r="A140" s="829"/>
      <c r="B140" s="832">
        <v>0</v>
      </c>
      <c r="C140" s="817">
        <f t="shared" si="2"/>
        <v>0</v>
      </c>
      <c r="D140" s="810"/>
      <c r="E140" s="810"/>
    </row>
    <row r="141" spans="1:5" ht="21">
      <c r="A141" s="829"/>
      <c r="B141" s="832">
        <v>0</v>
      </c>
      <c r="C141" s="817">
        <f t="shared" si="2"/>
        <v>0</v>
      </c>
      <c r="D141" s="810"/>
      <c r="E141" s="810"/>
    </row>
    <row r="142" spans="1:5" ht="21">
      <c r="A142" s="829"/>
      <c r="B142" s="832">
        <v>0</v>
      </c>
      <c r="C142" s="817">
        <f t="shared" si="2"/>
        <v>0</v>
      </c>
      <c r="D142" s="810"/>
      <c r="E142" s="810"/>
    </row>
    <row r="143" spans="1:5" ht="21">
      <c r="A143" s="829"/>
      <c r="B143" s="832">
        <v>0</v>
      </c>
      <c r="C143" s="817">
        <f t="shared" si="2"/>
        <v>0</v>
      </c>
      <c r="D143" s="810"/>
      <c r="E143" s="810"/>
    </row>
    <row r="144" spans="1:5" ht="21">
      <c r="A144" s="829"/>
      <c r="B144" s="832">
        <v>0</v>
      </c>
      <c r="C144" s="817">
        <f t="shared" si="2"/>
        <v>0</v>
      </c>
      <c r="D144" s="810"/>
      <c r="E144" s="810"/>
    </row>
    <row r="145" spans="1:5" ht="21">
      <c r="A145" s="829"/>
      <c r="B145" s="832">
        <v>0</v>
      </c>
      <c r="C145" s="817">
        <f t="shared" si="2"/>
        <v>0</v>
      </c>
      <c r="D145" s="810"/>
      <c r="E145" s="810"/>
    </row>
    <row r="146" spans="1:5" ht="21">
      <c r="A146" s="829"/>
      <c r="B146" s="832">
        <v>0</v>
      </c>
      <c r="C146" s="817">
        <f t="shared" si="2"/>
        <v>0</v>
      </c>
      <c r="D146" s="810"/>
      <c r="E146" s="810"/>
    </row>
    <row r="147" spans="1:5" ht="21">
      <c r="A147" s="829"/>
      <c r="B147" s="832">
        <v>0</v>
      </c>
      <c r="C147" s="817">
        <f t="shared" si="2"/>
        <v>0</v>
      </c>
      <c r="D147" s="810"/>
      <c r="E147" s="810"/>
    </row>
    <row r="148" spans="1:5" ht="21">
      <c r="A148" s="829"/>
      <c r="B148" s="832">
        <v>0</v>
      </c>
      <c r="C148" s="817">
        <f t="shared" si="2"/>
        <v>0</v>
      </c>
      <c r="D148" s="810"/>
      <c r="E148" s="810"/>
    </row>
    <row r="149" spans="1:5" ht="21">
      <c r="A149" s="829"/>
      <c r="B149" s="832">
        <v>0</v>
      </c>
      <c r="C149" s="817">
        <f t="shared" si="2"/>
        <v>0</v>
      </c>
      <c r="D149" s="810"/>
      <c r="E149" s="810"/>
    </row>
    <row r="150" spans="1:5" ht="21">
      <c r="A150" s="829"/>
      <c r="B150" s="832">
        <v>0</v>
      </c>
      <c r="C150" s="817">
        <f t="shared" si="2"/>
        <v>0</v>
      </c>
      <c r="D150" s="810"/>
      <c r="E150" s="810"/>
    </row>
    <row r="151" spans="1:5" ht="21">
      <c r="A151" s="829"/>
      <c r="B151" s="832">
        <v>0</v>
      </c>
      <c r="C151" s="817">
        <f t="shared" si="2"/>
        <v>0</v>
      </c>
      <c r="D151" s="810"/>
      <c r="E151" s="810"/>
    </row>
    <row r="152" spans="1:5" ht="21">
      <c r="A152" s="829"/>
      <c r="B152" s="832">
        <v>0</v>
      </c>
      <c r="C152" s="817">
        <f t="shared" si="2"/>
        <v>0</v>
      </c>
      <c r="D152" s="810"/>
      <c r="E152" s="810"/>
    </row>
    <row r="153" spans="1:5" ht="21">
      <c r="A153" s="828"/>
      <c r="B153" s="830" t="s">
        <v>1845</v>
      </c>
      <c r="C153" s="817">
        <f t="shared" si="2"/>
        <v>0</v>
      </c>
      <c r="D153" s="810"/>
      <c r="E153" s="810"/>
    </row>
    <row r="154" spans="1:5" ht="21">
      <c r="A154" s="867" t="s">
        <v>674</v>
      </c>
      <c r="B154" s="804" t="s">
        <v>764</v>
      </c>
      <c r="C154" s="814">
        <f t="shared" si="2"/>
        <v>0</v>
      </c>
      <c r="D154" s="811"/>
      <c r="E154" s="811"/>
    </row>
    <row r="155" spans="1:5" ht="21">
      <c r="A155" s="837" t="s">
        <v>276</v>
      </c>
      <c r="B155" s="844" t="s">
        <v>1848</v>
      </c>
      <c r="C155" s="817">
        <f t="shared" si="2"/>
        <v>0</v>
      </c>
      <c r="D155" s="810"/>
      <c r="E155" s="810"/>
    </row>
    <row r="156" spans="1:5" ht="21">
      <c r="A156" s="837" t="s">
        <v>858</v>
      </c>
      <c r="B156" s="844" t="s">
        <v>859</v>
      </c>
      <c r="C156" s="817">
        <f t="shared" si="2"/>
        <v>0</v>
      </c>
      <c r="D156" s="810"/>
      <c r="E156" s="810"/>
    </row>
    <row r="157" spans="1:5" ht="31.5">
      <c r="A157" s="867" t="s">
        <v>675</v>
      </c>
      <c r="B157" s="827" t="s">
        <v>765</v>
      </c>
      <c r="C157" s="814">
        <f t="shared" si="2"/>
        <v>0</v>
      </c>
      <c r="D157" s="811"/>
      <c r="E157" s="811"/>
    </row>
    <row r="158" spans="1:5" ht="30">
      <c r="A158" s="837" t="s">
        <v>767</v>
      </c>
      <c r="B158" s="844" t="s">
        <v>860</v>
      </c>
      <c r="C158" s="817">
        <f t="shared" si="2"/>
        <v>0</v>
      </c>
      <c r="D158" s="810"/>
      <c r="E158" s="810"/>
    </row>
    <row r="159" spans="1:5" ht="30">
      <c r="A159" s="837" t="s">
        <v>768</v>
      </c>
      <c r="B159" s="844" t="s">
        <v>861</v>
      </c>
      <c r="C159" s="817">
        <f t="shared" si="2"/>
        <v>0</v>
      </c>
      <c r="D159" s="810"/>
      <c r="E159" s="810"/>
    </row>
    <row r="160" spans="1:5" ht="47.25">
      <c r="A160" s="867" t="s">
        <v>680</v>
      </c>
      <c r="B160" s="800" t="s">
        <v>766</v>
      </c>
      <c r="C160" s="814">
        <f t="shared" si="2"/>
        <v>0</v>
      </c>
      <c r="D160" s="811"/>
      <c r="E160" s="811"/>
    </row>
    <row r="161" spans="1:5" ht="21">
      <c r="A161" s="837" t="s">
        <v>862</v>
      </c>
      <c r="B161" s="858" t="s">
        <v>863</v>
      </c>
      <c r="C161" s="817">
        <f t="shared" si="2"/>
        <v>0</v>
      </c>
      <c r="D161" s="810"/>
      <c r="E161" s="810"/>
    </row>
    <row r="162" spans="1:5" ht="21">
      <c r="A162" s="837" t="s">
        <v>864</v>
      </c>
      <c r="B162" s="844" t="s">
        <v>865</v>
      </c>
      <c r="C162" s="817">
        <f t="shared" si="2"/>
        <v>0</v>
      </c>
      <c r="D162" s="810"/>
      <c r="E162" s="810"/>
    </row>
    <row r="163" spans="1:5" ht="21">
      <c r="A163" s="837" t="s">
        <v>866</v>
      </c>
      <c r="B163" s="844" t="s">
        <v>867</v>
      </c>
      <c r="C163" s="817">
        <f t="shared" si="2"/>
        <v>0</v>
      </c>
      <c r="D163" s="810"/>
      <c r="E163" s="810"/>
    </row>
    <row r="164" spans="1:5" ht="21">
      <c r="A164" s="837" t="s">
        <v>868</v>
      </c>
      <c r="B164" s="844" t="s">
        <v>869</v>
      </c>
      <c r="C164" s="817">
        <f t="shared" si="2"/>
        <v>0</v>
      </c>
      <c r="D164" s="810"/>
      <c r="E164" s="810"/>
    </row>
    <row r="165" spans="1:5" ht="31.5">
      <c r="A165" s="867" t="s">
        <v>681</v>
      </c>
      <c r="B165" s="800" t="s">
        <v>769</v>
      </c>
      <c r="C165" s="814">
        <f t="shared" si="2"/>
        <v>0</v>
      </c>
      <c r="D165" s="811"/>
      <c r="E165" s="811"/>
    </row>
    <row r="166" spans="1:5" ht="21">
      <c r="A166" s="837" t="s">
        <v>870</v>
      </c>
      <c r="B166" s="844" t="s">
        <v>871</v>
      </c>
      <c r="C166" s="817">
        <f t="shared" si="2"/>
        <v>0</v>
      </c>
      <c r="D166" s="810"/>
      <c r="E166" s="810"/>
    </row>
    <row r="167" spans="1:5" ht="21">
      <c r="A167" s="837" t="s">
        <v>872</v>
      </c>
      <c r="B167" s="844" t="s">
        <v>873</v>
      </c>
      <c r="C167" s="817">
        <f t="shared" si="2"/>
        <v>0</v>
      </c>
      <c r="D167" s="810"/>
      <c r="E167" s="810"/>
    </row>
    <row r="168" spans="1:5" ht="21">
      <c r="A168" s="837" t="s">
        <v>874</v>
      </c>
      <c r="B168" s="844" t="s">
        <v>875</v>
      </c>
      <c r="C168" s="817">
        <f t="shared" si="2"/>
        <v>0</v>
      </c>
      <c r="D168" s="810"/>
      <c r="E168" s="810"/>
    </row>
    <row r="169" spans="1:5" ht="21">
      <c r="A169" s="837" t="s">
        <v>876</v>
      </c>
      <c r="B169" s="844" t="s">
        <v>877</v>
      </c>
      <c r="C169" s="817">
        <f t="shared" si="2"/>
        <v>0</v>
      </c>
      <c r="D169" s="810"/>
      <c r="E169" s="810"/>
    </row>
    <row r="170" spans="1:5" ht="21">
      <c r="A170" s="837" t="s">
        <v>878</v>
      </c>
      <c r="B170" s="844" t="s">
        <v>879</v>
      </c>
      <c r="C170" s="817">
        <f t="shared" si="2"/>
        <v>0</v>
      </c>
      <c r="D170" s="810"/>
      <c r="E170" s="810"/>
    </row>
    <row r="171" spans="1:5" ht="21">
      <c r="A171" s="837" t="s">
        <v>880</v>
      </c>
      <c r="B171" s="844" t="s">
        <v>881</v>
      </c>
      <c r="C171" s="817">
        <f t="shared" si="2"/>
        <v>0</v>
      </c>
      <c r="D171" s="810"/>
      <c r="E171" s="810"/>
    </row>
    <row r="172" spans="1:5" ht="21">
      <c r="A172" s="804" t="s">
        <v>684</v>
      </c>
      <c r="B172" s="800" t="s">
        <v>1849</v>
      </c>
      <c r="C172" s="814">
        <f t="shared" si="2"/>
        <v>0</v>
      </c>
      <c r="D172" s="811"/>
      <c r="E172" s="811"/>
    </row>
    <row r="173" spans="1:5" ht="21">
      <c r="A173" s="867" t="s">
        <v>779</v>
      </c>
      <c r="B173" s="800" t="s">
        <v>772</v>
      </c>
      <c r="C173" s="814">
        <f t="shared" si="2"/>
        <v>0</v>
      </c>
      <c r="D173" s="811"/>
      <c r="E173" s="811"/>
    </row>
    <row r="174" spans="1:5" ht="21">
      <c r="A174" s="837" t="s">
        <v>511</v>
      </c>
      <c r="B174" s="844" t="s">
        <v>882</v>
      </c>
      <c r="C174" s="815">
        <f t="shared" si="2"/>
        <v>0</v>
      </c>
      <c r="D174" s="810"/>
      <c r="E174" s="810"/>
    </row>
    <row r="175" spans="1:5" ht="31.5">
      <c r="A175" s="837" t="s">
        <v>513</v>
      </c>
      <c r="B175" s="858" t="s">
        <v>775</v>
      </c>
      <c r="C175" s="817">
        <f t="shared" si="2"/>
        <v>0</v>
      </c>
      <c r="D175" s="810"/>
      <c r="E175" s="810"/>
    </row>
    <row r="176" spans="1:5" ht="21">
      <c r="A176" s="837" t="s">
        <v>770</v>
      </c>
      <c r="B176" s="858" t="s">
        <v>676</v>
      </c>
      <c r="C176" s="817">
        <f t="shared" si="2"/>
        <v>0</v>
      </c>
      <c r="D176" s="810"/>
      <c r="E176" s="810"/>
    </row>
    <row r="177" spans="1:5" ht="31.5">
      <c r="A177" s="837" t="s">
        <v>771</v>
      </c>
      <c r="B177" s="858" t="s">
        <v>677</v>
      </c>
      <c r="C177" s="817">
        <f t="shared" si="2"/>
        <v>0</v>
      </c>
      <c r="D177" s="810"/>
      <c r="E177" s="810"/>
    </row>
    <row r="178" spans="1:5" ht="63">
      <c r="A178" s="837" t="s">
        <v>1746</v>
      </c>
      <c r="B178" s="858" t="s">
        <v>1850</v>
      </c>
      <c r="C178" s="817">
        <f t="shared" si="2"/>
        <v>0</v>
      </c>
      <c r="D178" s="810"/>
      <c r="E178" s="810"/>
    </row>
    <row r="179" spans="1:5" ht="21">
      <c r="A179" s="846" t="s">
        <v>773</v>
      </c>
      <c r="B179" s="799" t="s">
        <v>776</v>
      </c>
      <c r="C179" s="817">
        <f t="shared" si="2"/>
        <v>0</v>
      </c>
      <c r="D179" s="810"/>
      <c r="E179" s="810"/>
    </row>
    <row r="180" spans="1:5" ht="21">
      <c r="A180" s="846" t="s">
        <v>774</v>
      </c>
      <c r="B180" s="799" t="s">
        <v>777</v>
      </c>
      <c r="C180" s="817">
        <f t="shared" si="2"/>
        <v>0</v>
      </c>
      <c r="D180" s="810"/>
      <c r="E180" s="810"/>
    </row>
    <row r="181" spans="1:5" ht="21">
      <c r="A181" s="867" t="s">
        <v>779</v>
      </c>
      <c r="B181" s="826" t="s">
        <v>1754</v>
      </c>
      <c r="C181" s="814">
        <f t="shared" si="2"/>
        <v>0</v>
      </c>
      <c r="D181" s="811"/>
      <c r="E181" s="811"/>
    </row>
    <row r="182" spans="1:5" ht="21">
      <c r="A182" s="825" t="s">
        <v>1851</v>
      </c>
      <c r="B182" s="824" t="s">
        <v>1852</v>
      </c>
      <c r="C182" s="817"/>
      <c r="D182" s="810"/>
      <c r="E182" s="810"/>
    </row>
    <row r="183" spans="1:5" ht="21">
      <c r="A183" s="825" t="s">
        <v>1853</v>
      </c>
      <c r="B183" s="824" t="s">
        <v>1854</v>
      </c>
      <c r="C183" s="817"/>
      <c r="D183" s="810"/>
      <c r="E183" s="810"/>
    </row>
    <row r="184" spans="1:5" ht="21">
      <c r="A184" s="823" t="s">
        <v>1855</v>
      </c>
      <c r="B184" s="858" t="s">
        <v>1856</v>
      </c>
      <c r="C184" s="817">
        <f t="shared" ref="C184:C186" si="3">D184+E184</f>
        <v>0</v>
      </c>
      <c r="D184" s="810"/>
      <c r="E184" s="810"/>
    </row>
    <row r="185" spans="1:5" ht="21">
      <c r="A185" s="823" t="s">
        <v>1857</v>
      </c>
      <c r="B185" s="858" t="s">
        <v>1858</v>
      </c>
      <c r="C185" s="817">
        <f t="shared" si="3"/>
        <v>0</v>
      </c>
      <c r="D185" s="810"/>
      <c r="E185" s="810"/>
    </row>
    <row r="186" spans="1:5" ht="21">
      <c r="A186" s="823" t="s">
        <v>1859</v>
      </c>
      <c r="B186" s="858" t="s">
        <v>1860</v>
      </c>
      <c r="C186" s="817">
        <f t="shared" si="3"/>
        <v>0</v>
      </c>
      <c r="D186" s="810"/>
      <c r="E186" s="810"/>
    </row>
    <row r="187" spans="1:5" ht="21">
      <c r="A187" s="822" t="s">
        <v>1861</v>
      </c>
      <c r="B187" s="821" t="s">
        <v>1862</v>
      </c>
      <c r="C187" s="814">
        <f>IF(C184=0,0,C181/C184)</f>
        <v>0</v>
      </c>
      <c r="D187" s="811"/>
      <c r="E187" s="811"/>
    </row>
    <row r="188" spans="1:5" ht="15.75">
      <c r="A188" s="864"/>
      <c r="B188" s="865"/>
      <c r="C188" s="866"/>
      <c r="D188" s="866"/>
      <c r="E188" s="866"/>
    </row>
    <row r="189" spans="1:5" ht="15.75">
      <c r="A189" s="852"/>
      <c r="B189" s="851"/>
      <c r="C189" s="851"/>
      <c r="D189" s="851"/>
      <c r="E189" s="851"/>
    </row>
    <row r="190" spans="1:5" ht="15.75">
      <c r="A190" s="852"/>
      <c r="B190" s="851"/>
      <c r="C190" s="851"/>
      <c r="D190" s="851"/>
      <c r="E190" s="851"/>
    </row>
  </sheetData>
  <mergeCells count="2">
    <mergeCell ref="A6:A7"/>
    <mergeCell ref="B6:B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2" tint="-0.499984740745262"/>
  </sheetPr>
  <dimension ref="A1:H710"/>
  <sheetViews>
    <sheetView topLeftCell="A14" workbookViewId="0">
      <selection sqref="A1:J15"/>
    </sheetView>
  </sheetViews>
  <sheetFormatPr defaultRowHeight="15"/>
  <cols>
    <col min="1" max="1" width="6.5703125" style="173" customWidth="1"/>
    <col min="2" max="2" width="28.42578125" style="173" customWidth="1"/>
    <col min="3" max="3" width="2.7109375" style="173" customWidth="1"/>
    <col min="4" max="4" width="13.5703125" style="173" customWidth="1"/>
    <col min="5" max="5" width="8.28515625" style="173" customWidth="1"/>
    <col min="6" max="6" width="12.7109375" style="173" customWidth="1"/>
    <col min="7" max="7" width="13.42578125" style="173" customWidth="1"/>
    <col min="8" max="8" width="13.7109375" style="173" customWidth="1"/>
  </cols>
  <sheetData>
    <row r="1" spans="1:8">
      <c r="A1" s="306" t="s">
        <v>1141</v>
      </c>
      <c r="B1" s="306"/>
      <c r="C1" s="306"/>
      <c r="D1" s="306"/>
      <c r="E1" s="243"/>
      <c r="F1" s="243"/>
      <c r="G1" s="493"/>
      <c r="H1" s="493"/>
    </row>
    <row r="2" spans="1:8" ht="15.75" thickBot="1">
      <c r="A2" s="244"/>
      <c r="B2" s="244"/>
      <c r="C2" s="245"/>
      <c r="D2" s="245"/>
      <c r="E2" s="245"/>
      <c r="F2" s="245"/>
      <c r="G2" s="494"/>
      <c r="H2" s="494"/>
    </row>
    <row r="3" spans="1:8" ht="35.25" customHeight="1" thickBot="1">
      <c r="A3" s="307" t="s">
        <v>957</v>
      </c>
      <c r="B3" s="495"/>
      <c r="C3" s="308" t="s">
        <v>1014</v>
      </c>
      <c r="D3" s="496"/>
      <c r="E3" s="496"/>
      <c r="F3" s="496"/>
      <c r="G3" s="496"/>
      <c r="H3" s="497"/>
    </row>
    <row r="4" spans="1:8" ht="15.75" customHeight="1" thickBot="1">
      <c r="A4" s="307" t="s">
        <v>958</v>
      </c>
      <c r="B4" s="495"/>
      <c r="C4" s="563" t="s">
        <v>1015</v>
      </c>
      <c r="D4" s="564"/>
      <c r="E4" s="564"/>
      <c r="F4" s="564"/>
      <c r="G4" s="564"/>
      <c r="H4" s="565"/>
    </row>
    <row r="5" spans="1:8" ht="15.75" thickBot="1">
      <c r="A5" s="307" t="s">
        <v>18</v>
      </c>
      <c r="B5" s="495"/>
      <c r="C5" s="308" t="s">
        <v>1015</v>
      </c>
      <c r="D5" s="496"/>
      <c r="E5" s="496"/>
      <c r="F5" s="496"/>
      <c r="G5" s="496"/>
      <c r="H5" s="497"/>
    </row>
    <row r="6" spans="1:8" ht="15.75" customHeight="1" thickBot="1">
      <c r="A6" s="307" t="s">
        <v>959</v>
      </c>
      <c r="B6" s="495"/>
      <c r="C6" s="308" t="s">
        <v>9</v>
      </c>
      <c r="D6" s="496"/>
      <c r="E6" s="496"/>
      <c r="F6" s="496"/>
      <c r="G6" s="496"/>
      <c r="H6" s="497"/>
    </row>
    <row r="7" spans="1:8" ht="15.75" customHeight="1" thickBot="1">
      <c r="A7" s="307" t="s">
        <v>960</v>
      </c>
      <c r="B7" s="495"/>
      <c r="C7" s="309" t="s">
        <v>961</v>
      </c>
      <c r="D7" s="498"/>
      <c r="E7" s="498"/>
      <c r="F7" s="498"/>
      <c r="G7" s="498"/>
      <c r="H7" s="499"/>
    </row>
    <row r="8" spans="1:8" ht="15.75" customHeight="1" thickBot="1">
      <c r="A8" s="307" t="s">
        <v>958</v>
      </c>
      <c r="B8" s="495"/>
      <c r="C8" s="309" t="s">
        <v>1007</v>
      </c>
      <c r="D8" s="498"/>
      <c r="E8" s="498"/>
      <c r="F8" s="498"/>
      <c r="G8" s="498"/>
      <c r="H8" s="499"/>
    </row>
    <row r="9" spans="1:8" ht="15.75" customHeight="1" thickBot="1">
      <c r="A9" s="307" t="s">
        <v>963</v>
      </c>
      <c r="B9" s="495"/>
      <c r="C9" s="500" t="s">
        <v>964</v>
      </c>
      <c r="D9" s="566">
        <v>42370</v>
      </c>
      <c r="E9" s="498" t="s">
        <v>965</v>
      </c>
      <c r="F9" s="501">
        <v>42735</v>
      </c>
      <c r="G9" s="498"/>
      <c r="H9" s="499"/>
    </row>
    <row r="10" spans="1:8">
      <c r="A10" s="493"/>
      <c r="B10" s="502"/>
      <c r="C10" s="258"/>
      <c r="D10" s="258"/>
      <c r="E10" s="258"/>
      <c r="F10" s="258"/>
      <c r="G10" s="502"/>
      <c r="H10" s="502"/>
    </row>
    <row r="11" spans="1:8">
      <c r="A11" s="306" t="s">
        <v>1008</v>
      </c>
      <c r="B11" s="306"/>
      <c r="C11" s="306"/>
      <c r="D11" s="306"/>
      <c r="E11" s="306"/>
      <c r="F11" s="306"/>
      <c r="G11" s="306"/>
      <c r="H11" s="493"/>
    </row>
    <row r="12" spans="1:8" ht="15.75" thickBot="1">
      <c r="A12" s="493"/>
      <c r="B12" s="494"/>
      <c r="C12" s="245"/>
      <c r="D12" s="245"/>
      <c r="E12" s="245"/>
      <c r="F12" s="245"/>
      <c r="G12" s="494"/>
      <c r="H12" s="494"/>
    </row>
    <row r="13" spans="1:8" ht="15.75" customHeight="1" thickBot="1">
      <c r="A13" s="503" t="s">
        <v>183</v>
      </c>
      <c r="B13" s="504" t="s">
        <v>968</v>
      </c>
      <c r="C13" s="505"/>
      <c r="D13" s="505"/>
      <c r="E13" s="506"/>
      <c r="F13" s="309" t="s">
        <v>1142</v>
      </c>
      <c r="G13" s="498"/>
      <c r="H13" s="499"/>
    </row>
    <row r="14" spans="1:8" ht="15.75" thickBot="1">
      <c r="A14" s="507"/>
      <c r="B14" s="508"/>
      <c r="C14" s="509"/>
      <c r="D14" s="509"/>
      <c r="E14" s="510"/>
      <c r="F14" s="511" t="s">
        <v>1009</v>
      </c>
      <c r="G14" s="512" t="s">
        <v>221</v>
      </c>
      <c r="H14" s="513" t="s">
        <v>1010</v>
      </c>
    </row>
    <row r="15" spans="1:8" ht="15.75" customHeight="1" thickBot="1">
      <c r="A15" s="514">
        <v>1</v>
      </c>
      <c r="B15" s="310" t="s">
        <v>970</v>
      </c>
      <c r="C15" s="515"/>
      <c r="D15" s="515"/>
      <c r="E15" s="516"/>
      <c r="F15" s="222"/>
      <c r="G15" s="222"/>
      <c r="H15" s="222"/>
    </row>
    <row r="16" spans="1:8" ht="15.75" customHeight="1" thickBot="1">
      <c r="A16" s="514">
        <v>2</v>
      </c>
      <c r="B16" s="303" t="s">
        <v>971</v>
      </c>
      <c r="C16" s="517"/>
      <c r="D16" s="517"/>
      <c r="E16" s="518"/>
      <c r="F16" s="519"/>
      <c r="G16" s="519"/>
      <c r="H16" s="222"/>
    </row>
    <row r="17" spans="1:8" ht="15.75" thickBot="1">
      <c r="A17" s="514">
        <v>3</v>
      </c>
      <c r="B17" s="303" t="s">
        <v>972</v>
      </c>
      <c r="C17" s="517"/>
      <c r="D17" s="517"/>
      <c r="E17" s="518"/>
      <c r="F17" s="519"/>
      <c r="G17" s="519"/>
      <c r="H17" s="222"/>
    </row>
    <row r="18" spans="1:8" ht="16.5" thickBot="1">
      <c r="A18" s="520"/>
      <c r="B18" s="521" t="s">
        <v>520</v>
      </c>
      <c r="C18" s="522"/>
      <c r="D18" s="522"/>
      <c r="E18" s="495"/>
      <c r="F18" s="523"/>
      <c r="G18" s="524"/>
      <c r="H18" s="525"/>
    </row>
    <row r="19" spans="1:8">
      <c r="A19" s="526"/>
      <c r="B19" s="527"/>
      <c r="C19" s="527"/>
      <c r="D19" s="527"/>
      <c r="E19" s="527"/>
      <c r="F19" s="527"/>
      <c r="G19" s="527"/>
      <c r="H19" s="527"/>
    </row>
    <row r="20" spans="1:8">
      <c r="A20" s="306" t="s">
        <v>1011</v>
      </c>
      <c r="B20" s="306"/>
      <c r="C20" s="306"/>
      <c r="D20" s="306"/>
      <c r="E20" s="306"/>
      <c r="F20" s="306"/>
      <c r="G20" s="306"/>
      <c r="H20" s="306"/>
    </row>
    <row r="21" spans="1:8" ht="15.75" thickBot="1">
      <c r="A21" s="493"/>
      <c r="B21" s="281"/>
      <c r="C21" s="281"/>
      <c r="D21" s="281"/>
      <c r="E21" s="281"/>
      <c r="F21" s="281"/>
      <c r="G21" s="281"/>
      <c r="H21" s="281"/>
    </row>
    <row r="22" spans="1:8" ht="15.75" customHeight="1" thickBot="1">
      <c r="A22" s="503" t="s">
        <v>183</v>
      </c>
      <c r="B22" s="504" t="s">
        <v>467</v>
      </c>
      <c r="C22" s="505"/>
      <c r="D22" s="505"/>
      <c r="E22" s="506"/>
      <c r="F22" s="309" t="s">
        <v>1143</v>
      </c>
      <c r="G22" s="498"/>
      <c r="H22" s="499"/>
    </row>
    <row r="23" spans="1:8" ht="15.75" thickBot="1">
      <c r="A23" s="507"/>
      <c r="B23" s="508"/>
      <c r="C23" s="509"/>
      <c r="D23" s="509"/>
      <c r="E23" s="510"/>
      <c r="F23" s="511" t="s">
        <v>1009</v>
      </c>
      <c r="G23" s="512" t="s">
        <v>221</v>
      </c>
      <c r="H23" s="513" t="s">
        <v>1010</v>
      </c>
    </row>
    <row r="24" spans="1:8" ht="15.75" thickBot="1">
      <c r="A24" s="514">
        <v>1</v>
      </c>
      <c r="B24" s="528" t="s">
        <v>1012</v>
      </c>
      <c r="C24" s="515"/>
      <c r="D24" s="515"/>
      <c r="E24" s="516"/>
      <c r="F24" s="222"/>
      <c r="G24" s="222"/>
      <c r="H24" s="222"/>
    </row>
    <row r="25" spans="1:8">
      <c r="A25" s="493"/>
      <c r="B25" s="281"/>
      <c r="C25" s="281"/>
      <c r="D25" s="281"/>
      <c r="E25" s="281"/>
      <c r="F25" s="281"/>
      <c r="G25" s="281"/>
      <c r="H25" s="281"/>
    </row>
    <row r="26" spans="1:8" s="224" customFormat="1" ht="15" customHeight="1">
      <c r="A26" s="306" t="s">
        <v>974</v>
      </c>
      <c r="B26" s="306"/>
      <c r="C26" s="306"/>
      <c r="D26" s="306"/>
      <c r="E26" s="306"/>
      <c r="F26" s="306"/>
      <c r="G26" s="306"/>
      <c r="H26" s="306"/>
    </row>
    <row r="27" spans="1:8" ht="15.75" thickBot="1">
      <c r="A27" s="493"/>
      <c r="B27" s="281"/>
      <c r="C27" s="244"/>
      <c r="D27" s="244"/>
      <c r="E27" s="244"/>
      <c r="F27" s="244"/>
      <c r="G27" s="281"/>
      <c r="H27" s="281"/>
    </row>
    <row r="28" spans="1:8" ht="15.75" customHeight="1" thickBot="1">
      <c r="A28" s="503" t="s">
        <v>183</v>
      </c>
      <c r="B28" s="504" t="s">
        <v>467</v>
      </c>
      <c r="C28" s="505"/>
      <c r="D28" s="505"/>
      <c r="E28" s="505"/>
      <c r="F28" s="309" t="s">
        <v>1142</v>
      </c>
      <c r="G28" s="498"/>
      <c r="H28" s="499"/>
    </row>
    <row r="29" spans="1:8" ht="15.75" thickBot="1">
      <c r="A29" s="507"/>
      <c r="B29" s="508"/>
      <c r="C29" s="509"/>
      <c r="D29" s="509"/>
      <c r="E29" s="509"/>
      <c r="F29" s="511" t="s">
        <v>1009</v>
      </c>
      <c r="G29" s="512" t="s">
        <v>221</v>
      </c>
      <c r="H29" s="513" t="s">
        <v>1010</v>
      </c>
    </row>
    <row r="30" spans="1:8" ht="30.75" thickBot="1">
      <c r="A30" s="514">
        <v>1</v>
      </c>
      <c r="B30" s="528" t="s">
        <v>975</v>
      </c>
      <c r="C30" s="515"/>
      <c r="D30" s="515"/>
      <c r="E30" s="515"/>
      <c r="F30" s="222"/>
      <c r="G30" s="222"/>
      <c r="H30" s="222"/>
    </row>
    <row r="31" spans="1:8">
      <c r="A31" s="282"/>
      <c r="B31" s="311"/>
      <c r="C31" s="311"/>
      <c r="D31" s="311"/>
      <c r="E31" s="311"/>
      <c r="F31" s="311"/>
      <c r="G31" s="311"/>
      <c r="H31" s="282"/>
    </row>
    <row r="32" spans="1:8" ht="15" customHeight="1">
      <c r="A32" s="306" t="s">
        <v>1013</v>
      </c>
      <c r="B32" s="529"/>
      <c r="C32" s="529"/>
      <c r="D32" s="529"/>
      <c r="E32" s="529"/>
      <c r="F32" s="529"/>
      <c r="G32" s="529"/>
      <c r="H32" s="529"/>
    </row>
    <row r="33" spans="1:8" ht="15.75" thickBot="1">
      <c r="A33" s="494"/>
      <c r="B33" s="244"/>
      <c r="C33" s="244"/>
      <c r="D33" s="244"/>
      <c r="E33" s="244"/>
      <c r="F33" s="244"/>
      <c r="G33" s="244"/>
      <c r="H33" s="244"/>
    </row>
    <row r="34" spans="1:8" ht="15.75" customHeight="1" thickBot="1">
      <c r="A34" s="530" t="s">
        <v>183</v>
      </c>
      <c r="B34" s="531" t="s">
        <v>467</v>
      </c>
      <c r="C34" s="532"/>
      <c r="D34" s="533"/>
      <c r="E34" s="283" t="s">
        <v>522</v>
      </c>
      <c r="F34" s="254" t="s">
        <v>1144</v>
      </c>
      <c r="G34" s="534"/>
      <c r="H34" s="535"/>
    </row>
    <row r="35" spans="1:8" ht="15.75" thickBot="1">
      <c r="A35" s="536"/>
      <c r="B35" s="537"/>
      <c r="C35" s="538"/>
      <c r="D35" s="539"/>
      <c r="E35" s="536"/>
      <c r="F35" s="540" t="s">
        <v>1009</v>
      </c>
      <c r="G35" s="541" t="s">
        <v>221</v>
      </c>
      <c r="H35" s="542" t="s">
        <v>1010</v>
      </c>
    </row>
    <row r="36" spans="1:8" ht="15.75" customHeight="1" thickBot="1">
      <c r="A36" s="303" t="s">
        <v>524</v>
      </c>
      <c r="B36" s="517"/>
      <c r="C36" s="517"/>
      <c r="D36" s="517"/>
      <c r="E36" s="517"/>
      <c r="F36" s="517"/>
      <c r="G36" s="517"/>
      <c r="H36" s="518"/>
    </row>
    <row r="37" spans="1:8" ht="15.75" customHeight="1" thickBot="1">
      <c r="A37" s="543">
        <v>1</v>
      </c>
      <c r="B37" s="303" t="s">
        <v>525</v>
      </c>
      <c r="C37" s="517"/>
      <c r="D37" s="518"/>
      <c r="E37" s="544" t="s">
        <v>246</v>
      </c>
      <c r="F37" s="519"/>
      <c r="G37" s="519"/>
      <c r="H37" s="519"/>
    </row>
    <row r="38" spans="1:8" ht="15.75" customHeight="1" thickBot="1">
      <c r="A38" s="543">
        <v>2</v>
      </c>
      <c r="B38" s="303" t="s">
        <v>526</v>
      </c>
      <c r="C38" s="517"/>
      <c r="D38" s="545"/>
      <c r="E38" s="546" t="s">
        <v>246</v>
      </c>
      <c r="F38" s="519"/>
      <c r="G38" s="519"/>
      <c r="H38" s="519"/>
    </row>
    <row r="39" spans="1:8" ht="15.75" customHeight="1" thickBot="1">
      <c r="A39" s="303" t="s">
        <v>527</v>
      </c>
      <c r="B39" s="239"/>
      <c r="C39" s="239"/>
      <c r="D39" s="239"/>
      <c r="E39" s="517"/>
      <c r="F39" s="517"/>
      <c r="G39" s="517"/>
      <c r="H39" s="518"/>
    </row>
    <row r="40" spans="1:8" ht="39" customHeight="1" thickBot="1">
      <c r="A40" s="305">
        <v>1</v>
      </c>
      <c r="B40" s="303" t="s">
        <v>528</v>
      </c>
      <c r="C40" s="239"/>
      <c r="D40" s="304"/>
      <c r="E40" s="547" t="s">
        <v>529</v>
      </c>
      <c r="F40" s="519"/>
      <c r="G40" s="519"/>
      <c r="H40" s="519"/>
    </row>
    <row r="41" spans="1:8" ht="15.75" customHeight="1" thickBot="1">
      <c r="A41" s="303" t="s">
        <v>530</v>
      </c>
      <c r="B41" s="239"/>
      <c r="C41" s="239"/>
      <c r="D41" s="239"/>
      <c r="E41" s="517"/>
      <c r="F41" s="517"/>
      <c r="G41" s="517"/>
      <c r="H41" s="518"/>
    </row>
    <row r="42" spans="1:8" ht="15.75" customHeight="1" thickBot="1">
      <c r="A42" s="305">
        <v>1</v>
      </c>
      <c r="B42" s="303" t="s">
        <v>531</v>
      </c>
      <c r="C42" s="239"/>
      <c r="D42" s="304"/>
      <c r="E42" s="548" t="s">
        <v>246</v>
      </c>
      <c r="F42" s="549"/>
      <c r="G42" s="549"/>
      <c r="H42" s="549"/>
    </row>
    <row r="43" spans="1:8" ht="39" customHeight="1" thickBot="1">
      <c r="A43" s="305">
        <v>2</v>
      </c>
      <c r="B43" s="303" t="s">
        <v>454</v>
      </c>
      <c r="C43" s="239"/>
      <c r="D43" s="304"/>
      <c r="E43" s="550" t="s">
        <v>982</v>
      </c>
      <c r="F43" s="551"/>
      <c r="G43" s="551"/>
      <c r="H43" s="551"/>
    </row>
    <row r="44" spans="1:8" ht="39" customHeight="1" thickBot="1">
      <c r="A44" s="305">
        <v>3</v>
      </c>
      <c r="B44" s="303" t="s">
        <v>976</v>
      </c>
      <c r="C44" s="239"/>
      <c r="D44" s="304"/>
      <c r="E44" s="550" t="s">
        <v>982</v>
      </c>
      <c r="F44" s="551"/>
      <c r="G44" s="551"/>
      <c r="H44" s="551"/>
    </row>
    <row r="45" spans="1:8">
      <c r="A45" s="223"/>
      <c r="B45" s="223"/>
      <c r="C45" s="223"/>
      <c r="D45" s="223"/>
      <c r="E45" s="223"/>
      <c r="F45" s="223"/>
      <c r="G45" s="223"/>
      <c r="H45" s="223"/>
    </row>
    <row r="46" spans="1:8">
      <c r="A46" s="223"/>
      <c r="B46" s="223"/>
      <c r="C46" s="223"/>
      <c r="D46" s="223"/>
      <c r="E46" s="223"/>
      <c r="F46" s="223"/>
      <c r="G46" s="223"/>
      <c r="H46" s="223"/>
    </row>
    <row r="47" spans="1:8">
      <c r="A47" s="223"/>
      <c r="B47" s="223"/>
      <c r="C47" s="223"/>
      <c r="D47" s="223"/>
      <c r="E47" s="223"/>
      <c r="F47" s="223"/>
      <c r="G47" s="223"/>
      <c r="H47" s="223"/>
    </row>
    <row r="48" spans="1:8">
      <c r="A48" s="223"/>
      <c r="B48" s="223"/>
      <c r="C48" s="223"/>
      <c r="D48" s="223"/>
      <c r="E48" s="223"/>
      <c r="F48" s="223"/>
      <c r="G48" s="223"/>
      <c r="H48" s="223"/>
    </row>
    <row r="49" spans="1:8">
      <c r="A49" s="223"/>
      <c r="B49" s="223"/>
      <c r="C49" s="223"/>
      <c r="D49" s="223"/>
      <c r="E49" s="223"/>
      <c r="F49" s="223"/>
      <c r="G49" s="223"/>
      <c r="H49" s="223"/>
    </row>
    <row r="50" spans="1:8">
      <c r="A50" s="223"/>
      <c r="B50" s="223"/>
      <c r="C50" s="223"/>
      <c r="D50" s="223"/>
      <c r="E50" s="223"/>
      <c r="F50" s="223"/>
      <c r="G50" s="223"/>
      <c r="H50" s="223"/>
    </row>
    <row r="51" spans="1:8">
      <c r="A51" s="223"/>
      <c r="B51" s="223"/>
      <c r="C51" s="223"/>
      <c r="D51" s="223"/>
      <c r="E51" s="223"/>
      <c r="F51" s="223"/>
      <c r="G51" s="223"/>
      <c r="H51" s="223"/>
    </row>
    <row r="52" spans="1:8">
      <c r="A52" s="223"/>
      <c r="B52" s="223"/>
      <c r="C52" s="223"/>
      <c r="D52" s="223"/>
      <c r="E52" s="223"/>
      <c r="F52" s="223"/>
      <c r="G52" s="223"/>
      <c r="H52" s="223"/>
    </row>
    <row r="53" spans="1:8">
      <c r="A53" s="223"/>
      <c r="B53" s="223"/>
      <c r="C53" s="223"/>
      <c r="D53" s="223"/>
      <c r="E53" s="223"/>
      <c r="F53" s="223"/>
      <c r="G53" s="223"/>
      <c r="H53" s="223"/>
    </row>
    <row r="54" spans="1:8">
      <c r="A54" s="223"/>
      <c r="B54" s="223"/>
      <c r="C54" s="223"/>
      <c r="D54" s="223"/>
      <c r="E54" s="223"/>
      <c r="F54" s="223"/>
      <c r="G54" s="223"/>
      <c r="H54" s="223"/>
    </row>
    <row r="55" spans="1:8">
      <c r="A55" s="223"/>
      <c r="B55" s="223"/>
      <c r="C55" s="223"/>
      <c r="D55" s="223"/>
      <c r="E55" s="223"/>
      <c r="F55" s="223"/>
      <c r="G55" s="223"/>
      <c r="H55" s="223"/>
    </row>
    <row r="56" spans="1:8">
      <c r="A56" s="223"/>
      <c r="B56" s="223"/>
      <c r="C56" s="223"/>
      <c r="D56" s="223"/>
      <c r="E56" s="223"/>
      <c r="F56" s="223"/>
      <c r="G56" s="223"/>
      <c r="H56" s="223"/>
    </row>
    <row r="57" spans="1:8">
      <c r="A57" s="223"/>
      <c r="B57" s="223"/>
      <c r="C57" s="223"/>
      <c r="D57" s="223"/>
      <c r="E57" s="223"/>
      <c r="F57" s="223"/>
      <c r="G57" s="223"/>
      <c r="H57" s="223"/>
    </row>
    <row r="58" spans="1:8">
      <c r="A58" s="223"/>
      <c r="B58" s="223"/>
      <c r="C58" s="223"/>
      <c r="D58" s="223"/>
      <c r="E58" s="223"/>
      <c r="F58" s="223"/>
      <c r="G58" s="223"/>
      <c r="H58" s="223"/>
    </row>
    <row r="59" spans="1:8">
      <c r="A59" s="223"/>
      <c r="B59" s="223"/>
      <c r="C59" s="223"/>
      <c r="D59" s="223"/>
      <c r="E59" s="223"/>
      <c r="F59" s="223"/>
      <c r="G59" s="223"/>
      <c r="H59" s="223"/>
    </row>
    <row r="60" spans="1:8">
      <c r="A60" s="223"/>
      <c r="B60" s="223"/>
      <c r="C60" s="223"/>
      <c r="D60" s="223"/>
      <c r="E60" s="223"/>
      <c r="F60" s="223"/>
      <c r="G60" s="223"/>
      <c r="H60" s="223"/>
    </row>
    <row r="61" spans="1:8">
      <c r="A61" s="223"/>
      <c r="B61" s="223"/>
      <c r="C61" s="223"/>
      <c r="D61" s="223"/>
      <c r="E61" s="223"/>
      <c r="F61" s="223"/>
      <c r="G61" s="223"/>
      <c r="H61" s="223"/>
    </row>
    <row r="62" spans="1:8">
      <c r="A62" s="223"/>
      <c r="B62" s="223"/>
      <c r="C62" s="223"/>
      <c r="D62" s="223"/>
      <c r="E62" s="223"/>
      <c r="F62" s="223"/>
      <c r="G62" s="223"/>
      <c r="H62" s="223"/>
    </row>
    <row r="63" spans="1:8">
      <c r="A63" s="223"/>
      <c r="B63" s="223"/>
      <c r="C63" s="223"/>
      <c r="D63" s="223"/>
      <c r="E63" s="223"/>
      <c r="F63" s="223"/>
      <c r="G63" s="223"/>
      <c r="H63" s="223"/>
    </row>
    <row r="64" spans="1:8">
      <c r="A64" s="223"/>
      <c r="B64" s="223"/>
      <c r="C64" s="223"/>
      <c r="D64" s="223"/>
      <c r="E64" s="223"/>
      <c r="F64" s="223"/>
      <c r="G64" s="223"/>
      <c r="H64" s="223"/>
    </row>
    <row r="65" spans="1:8">
      <c r="A65" s="223"/>
      <c r="B65" s="223"/>
      <c r="C65" s="223"/>
      <c r="D65" s="223"/>
      <c r="E65" s="223"/>
      <c r="F65" s="223"/>
      <c r="G65" s="223"/>
      <c r="H65" s="223"/>
    </row>
    <row r="66" spans="1:8">
      <c r="A66" s="223"/>
      <c r="B66" s="223"/>
      <c r="C66" s="223"/>
      <c r="D66" s="223"/>
      <c r="E66" s="223"/>
      <c r="F66" s="223"/>
      <c r="G66" s="223"/>
      <c r="H66" s="223"/>
    </row>
    <row r="67" spans="1:8">
      <c r="A67" s="223"/>
      <c r="B67" s="223"/>
      <c r="C67" s="223"/>
      <c r="D67" s="223"/>
      <c r="E67" s="223"/>
      <c r="F67" s="223"/>
      <c r="G67" s="223"/>
      <c r="H67" s="223"/>
    </row>
    <row r="68" spans="1:8">
      <c r="A68" s="223"/>
      <c r="B68" s="223"/>
      <c r="C68" s="223"/>
      <c r="D68" s="223"/>
      <c r="E68" s="223"/>
      <c r="F68" s="223"/>
      <c r="G68" s="223"/>
      <c r="H68" s="223"/>
    </row>
    <row r="69" spans="1:8">
      <c r="A69" s="223"/>
      <c r="B69" s="223"/>
      <c r="C69" s="223"/>
      <c r="D69" s="223"/>
      <c r="E69" s="223"/>
      <c r="F69" s="223"/>
      <c r="G69" s="223"/>
      <c r="H69" s="223"/>
    </row>
    <row r="70" spans="1:8">
      <c r="A70" s="223"/>
      <c r="B70" s="223"/>
      <c r="C70" s="223"/>
      <c r="D70" s="223"/>
      <c r="E70" s="223"/>
      <c r="F70" s="223"/>
      <c r="G70" s="223"/>
      <c r="H70" s="223"/>
    </row>
    <row r="71" spans="1:8">
      <c r="A71" s="223"/>
      <c r="B71" s="223"/>
      <c r="C71" s="223"/>
      <c r="D71" s="223"/>
      <c r="E71" s="223"/>
      <c r="F71" s="223"/>
      <c r="G71" s="223"/>
      <c r="H71" s="223"/>
    </row>
    <row r="72" spans="1:8">
      <c r="A72" s="223"/>
      <c r="B72" s="223"/>
      <c r="C72" s="223"/>
      <c r="D72" s="223"/>
      <c r="E72" s="223"/>
      <c r="F72" s="223"/>
      <c r="G72" s="223"/>
      <c r="H72" s="223"/>
    </row>
    <row r="73" spans="1:8">
      <c r="A73" s="223"/>
      <c r="B73" s="223"/>
      <c r="C73" s="223"/>
      <c r="D73" s="223"/>
      <c r="E73" s="223"/>
      <c r="F73" s="223"/>
      <c r="G73" s="223"/>
      <c r="H73" s="223"/>
    </row>
    <row r="74" spans="1:8">
      <c r="A74" s="223"/>
      <c r="B74" s="223"/>
      <c r="C74" s="223"/>
      <c r="D74" s="223"/>
      <c r="E74" s="223"/>
      <c r="F74" s="223"/>
      <c r="G74" s="223"/>
      <c r="H74" s="223"/>
    </row>
    <row r="75" spans="1:8">
      <c r="A75" s="223"/>
      <c r="B75" s="223"/>
      <c r="C75" s="223"/>
      <c r="D75" s="223"/>
      <c r="E75" s="223"/>
      <c r="F75" s="223"/>
      <c r="G75" s="223"/>
      <c r="H75" s="223"/>
    </row>
    <row r="76" spans="1:8">
      <c r="A76" s="223"/>
      <c r="B76" s="223"/>
      <c r="C76" s="223"/>
      <c r="D76" s="223"/>
      <c r="E76" s="223"/>
      <c r="F76" s="223"/>
      <c r="G76" s="223"/>
      <c r="H76" s="223"/>
    </row>
    <row r="77" spans="1:8">
      <c r="A77" s="223"/>
      <c r="B77" s="223"/>
      <c r="C77" s="223"/>
      <c r="D77" s="223"/>
      <c r="E77" s="223"/>
      <c r="F77" s="223"/>
      <c r="G77" s="223"/>
      <c r="H77" s="223"/>
    </row>
    <row r="78" spans="1:8">
      <c r="A78" s="223"/>
      <c r="B78" s="223"/>
      <c r="C78" s="223"/>
      <c r="D78" s="223"/>
      <c r="E78" s="223"/>
      <c r="F78" s="223"/>
      <c r="G78" s="223"/>
      <c r="H78" s="223"/>
    </row>
    <row r="79" spans="1:8">
      <c r="A79" s="223"/>
      <c r="B79" s="223"/>
      <c r="C79" s="223"/>
      <c r="D79" s="223"/>
      <c r="E79" s="223"/>
      <c r="F79" s="223"/>
      <c r="G79" s="223"/>
      <c r="H79" s="223"/>
    </row>
    <row r="80" spans="1:8">
      <c r="A80" s="223"/>
      <c r="B80" s="223"/>
      <c r="C80" s="223"/>
      <c r="D80" s="223"/>
      <c r="E80" s="223"/>
      <c r="F80" s="223"/>
      <c r="G80" s="223"/>
      <c r="H80" s="223"/>
    </row>
    <row r="81" spans="1:8">
      <c r="A81" s="223"/>
      <c r="B81" s="223"/>
      <c r="C81" s="223"/>
      <c r="D81" s="223"/>
      <c r="E81" s="223"/>
      <c r="F81" s="223"/>
      <c r="G81" s="223"/>
      <c r="H81" s="223"/>
    </row>
    <row r="82" spans="1:8">
      <c r="A82" s="223"/>
      <c r="B82" s="223"/>
      <c r="C82" s="223"/>
      <c r="D82" s="223"/>
      <c r="E82" s="223"/>
      <c r="F82" s="223"/>
      <c r="G82" s="223"/>
      <c r="H82" s="223"/>
    </row>
    <row r="83" spans="1:8">
      <c r="A83" s="223"/>
      <c r="B83" s="223"/>
      <c r="C83" s="223"/>
      <c r="D83" s="223"/>
      <c r="E83" s="223"/>
      <c r="F83" s="223"/>
      <c r="G83" s="223"/>
      <c r="H83" s="223"/>
    </row>
    <row r="84" spans="1:8">
      <c r="A84" s="223"/>
      <c r="B84" s="223"/>
      <c r="C84" s="223"/>
      <c r="D84" s="223"/>
      <c r="E84" s="223"/>
      <c r="F84" s="223"/>
      <c r="G84" s="223"/>
      <c r="H84" s="223"/>
    </row>
    <row r="85" spans="1:8">
      <c r="A85" s="223"/>
      <c r="B85" s="223"/>
      <c r="C85" s="223"/>
      <c r="D85" s="223"/>
      <c r="E85" s="223"/>
      <c r="F85" s="223"/>
      <c r="G85" s="223"/>
      <c r="H85" s="223"/>
    </row>
    <row r="86" spans="1:8">
      <c r="A86" s="223"/>
      <c r="B86" s="223"/>
      <c r="C86" s="223"/>
      <c r="D86" s="223"/>
      <c r="E86" s="223"/>
      <c r="F86" s="223"/>
      <c r="G86" s="223"/>
      <c r="H86" s="223"/>
    </row>
    <row r="87" spans="1:8">
      <c r="A87" s="223"/>
      <c r="B87" s="223"/>
      <c r="C87" s="223"/>
      <c r="D87" s="223"/>
      <c r="E87" s="223"/>
      <c r="F87" s="223"/>
      <c r="G87" s="223"/>
      <c r="H87" s="223"/>
    </row>
    <row r="88" spans="1:8">
      <c r="A88" s="223"/>
      <c r="B88" s="223"/>
      <c r="C88" s="223"/>
      <c r="D88" s="223"/>
      <c r="E88" s="223"/>
      <c r="F88" s="223"/>
      <c r="G88" s="223"/>
      <c r="H88" s="223"/>
    </row>
    <row r="89" spans="1:8">
      <c r="A89" s="223"/>
      <c r="B89" s="223"/>
      <c r="C89" s="223"/>
      <c r="D89" s="223"/>
      <c r="E89" s="223"/>
      <c r="F89" s="223"/>
      <c r="G89" s="223"/>
      <c r="H89" s="223"/>
    </row>
    <row r="90" spans="1:8">
      <c r="A90" s="223"/>
      <c r="B90" s="223"/>
      <c r="C90" s="223"/>
      <c r="D90" s="223"/>
      <c r="E90" s="223"/>
      <c r="F90" s="223"/>
      <c r="G90" s="223"/>
      <c r="H90" s="223"/>
    </row>
    <row r="91" spans="1:8">
      <c r="A91" s="223"/>
      <c r="B91" s="223"/>
      <c r="C91" s="223"/>
      <c r="D91" s="223"/>
      <c r="E91" s="223"/>
      <c r="F91" s="223"/>
      <c r="G91" s="223"/>
      <c r="H91" s="223"/>
    </row>
    <row r="92" spans="1:8">
      <c r="A92" s="223"/>
      <c r="B92" s="223"/>
      <c r="C92" s="223"/>
      <c r="D92" s="223"/>
      <c r="E92" s="223"/>
      <c r="F92" s="223"/>
      <c r="G92" s="223"/>
      <c r="H92" s="223"/>
    </row>
    <row r="93" spans="1:8">
      <c r="A93" s="223"/>
      <c r="B93" s="223"/>
      <c r="C93" s="223"/>
      <c r="D93" s="223"/>
      <c r="E93" s="223"/>
      <c r="F93" s="223"/>
      <c r="G93" s="223"/>
      <c r="H93" s="223"/>
    </row>
    <row r="94" spans="1:8">
      <c r="A94" s="223"/>
      <c r="B94" s="223"/>
      <c r="C94" s="223"/>
      <c r="D94" s="223"/>
      <c r="E94" s="223"/>
      <c r="F94" s="223"/>
      <c r="G94" s="223"/>
      <c r="H94" s="223"/>
    </row>
    <row r="95" spans="1:8">
      <c r="A95" s="223"/>
      <c r="B95" s="223"/>
      <c r="C95" s="223"/>
      <c r="D95" s="223"/>
      <c r="E95" s="223"/>
      <c r="F95" s="223"/>
      <c r="G95" s="223"/>
      <c r="H95" s="223"/>
    </row>
    <row r="96" spans="1:8">
      <c r="A96" s="223"/>
      <c r="B96" s="223"/>
      <c r="C96" s="223"/>
      <c r="D96" s="223"/>
      <c r="E96" s="223"/>
      <c r="F96" s="223"/>
      <c r="G96" s="223"/>
      <c r="H96" s="223"/>
    </row>
    <row r="97" spans="1:8">
      <c r="A97" s="223"/>
      <c r="B97" s="223"/>
      <c r="C97" s="223"/>
      <c r="D97" s="223"/>
      <c r="E97" s="223"/>
      <c r="F97" s="223"/>
      <c r="G97" s="223"/>
      <c r="H97" s="223"/>
    </row>
    <row r="98" spans="1:8">
      <c r="A98" s="223"/>
      <c r="B98" s="223"/>
      <c r="C98" s="223"/>
      <c r="D98" s="223"/>
      <c r="E98" s="223"/>
      <c r="F98" s="223"/>
      <c r="G98" s="223"/>
      <c r="H98" s="223"/>
    </row>
    <row r="99" spans="1:8">
      <c r="A99" s="223"/>
      <c r="B99" s="223"/>
      <c r="C99" s="223"/>
      <c r="D99" s="223"/>
      <c r="E99" s="223"/>
      <c r="F99" s="223"/>
      <c r="G99" s="223"/>
      <c r="H99" s="223"/>
    </row>
    <row r="100" spans="1:8">
      <c r="A100" s="223"/>
      <c r="B100" s="223"/>
      <c r="C100" s="223"/>
      <c r="D100" s="223"/>
      <c r="E100" s="223"/>
      <c r="F100" s="223"/>
      <c r="G100" s="223"/>
      <c r="H100" s="223"/>
    </row>
    <row r="101" spans="1:8">
      <c r="A101" s="223"/>
      <c r="B101" s="223"/>
      <c r="C101" s="223"/>
      <c r="D101" s="223"/>
      <c r="E101" s="223"/>
      <c r="F101" s="223"/>
      <c r="G101" s="223"/>
      <c r="H101" s="223"/>
    </row>
    <row r="102" spans="1:8">
      <c r="A102" s="223"/>
      <c r="B102" s="223"/>
      <c r="C102" s="223"/>
      <c r="D102" s="223"/>
      <c r="E102" s="223"/>
      <c r="F102" s="223"/>
      <c r="G102" s="223"/>
      <c r="H102" s="223"/>
    </row>
    <row r="103" spans="1:8">
      <c r="A103" s="223"/>
      <c r="B103" s="223"/>
      <c r="C103" s="223"/>
      <c r="D103" s="223"/>
      <c r="E103" s="223"/>
      <c r="F103" s="223"/>
      <c r="G103" s="223"/>
      <c r="H103" s="223"/>
    </row>
    <row r="104" spans="1:8">
      <c r="A104" s="223"/>
      <c r="B104" s="223"/>
      <c r="C104" s="223"/>
      <c r="D104" s="223"/>
      <c r="E104" s="223"/>
      <c r="F104" s="223"/>
      <c r="G104" s="223"/>
      <c r="H104" s="223"/>
    </row>
    <row r="105" spans="1:8">
      <c r="A105" s="223"/>
      <c r="B105" s="223"/>
      <c r="C105" s="223"/>
      <c r="D105" s="223"/>
      <c r="E105" s="223"/>
      <c r="F105" s="223"/>
      <c r="G105" s="223"/>
      <c r="H105" s="223"/>
    </row>
    <row r="106" spans="1:8">
      <c r="A106" s="223"/>
      <c r="B106" s="223"/>
      <c r="C106" s="223"/>
      <c r="D106" s="223"/>
      <c r="E106" s="223"/>
      <c r="F106" s="223"/>
      <c r="G106" s="223"/>
      <c r="H106" s="223"/>
    </row>
    <row r="107" spans="1:8">
      <c r="A107" s="223"/>
      <c r="B107" s="223"/>
      <c r="C107" s="223"/>
      <c r="D107" s="223"/>
      <c r="E107" s="223"/>
      <c r="F107" s="223"/>
      <c r="G107" s="223"/>
      <c r="H107" s="223"/>
    </row>
    <row r="108" spans="1:8">
      <c r="A108" s="223"/>
      <c r="B108" s="223"/>
      <c r="C108" s="223"/>
      <c r="D108" s="223"/>
      <c r="E108" s="223"/>
      <c r="F108" s="223"/>
      <c r="G108" s="223"/>
      <c r="H108" s="223"/>
    </row>
    <row r="109" spans="1:8">
      <c r="A109" s="223"/>
      <c r="B109" s="223"/>
      <c r="C109" s="223"/>
      <c r="D109" s="223"/>
      <c r="E109" s="223"/>
      <c r="F109" s="223"/>
      <c r="G109" s="223"/>
      <c r="H109" s="223"/>
    </row>
    <row r="110" spans="1:8">
      <c r="A110" s="223"/>
      <c r="B110" s="223"/>
      <c r="C110" s="223"/>
      <c r="D110" s="223"/>
      <c r="E110" s="223"/>
      <c r="F110" s="223"/>
      <c r="G110" s="223"/>
      <c r="H110" s="223"/>
    </row>
    <row r="111" spans="1:8">
      <c r="A111" s="223"/>
      <c r="B111" s="223"/>
      <c r="C111" s="223"/>
      <c r="D111" s="223"/>
      <c r="E111" s="223"/>
      <c r="F111" s="223"/>
      <c r="G111" s="223"/>
      <c r="H111" s="223"/>
    </row>
    <row r="112" spans="1:8">
      <c r="A112" s="223"/>
      <c r="B112" s="223"/>
      <c r="C112" s="223"/>
      <c r="D112" s="223"/>
      <c r="E112" s="223"/>
      <c r="F112" s="223"/>
      <c r="G112" s="223"/>
      <c r="H112" s="223"/>
    </row>
    <row r="113" spans="1:8">
      <c r="A113" s="223"/>
      <c r="B113" s="223"/>
      <c r="C113" s="223"/>
      <c r="D113" s="223"/>
      <c r="E113" s="223"/>
      <c r="F113" s="223"/>
      <c r="G113" s="223"/>
      <c r="H113" s="223"/>
    </row>
    <row r="114" spans="1:8">
      <c r="A114" s="223"/>
      <c r="B114" s="223"/>
      <c r="C114" s="223"/>
      <c r="D114" s="223"/>
      <c r="E114" s="223"/>
      <c r="F114" s="223"/>
      <c r="G114" s="223"/>
      <c r="H114" s="223"/>
    </row>
    <row r="115" spans="1:8">
      <c r="A115" s="223"/>
      <c r="B115" s="223"/>
      <c r="C115" s="223"/>
      <c r="D115" s="223"/>
      <c r="E115" s="223"/>
      <c r="F115" s="223"/>
      <c r="G115" s="223"/>
      <c r="H115" s="223"/>
    </row>
    <row r="116" spans="1:8">
      <c r="A116" s="223"/>
      <c r="B116" s="223"/>
      <c r="C116" s="223"/>
      <c r="D116" s="223"/>
      <c r="E116" s="223"/>
      <c r="F116" s="223"/>
      <c r="G116" s="223"/>
      <c r="H116" s="223"/>
    </row>
    <row r="117" spans="1:8">
      <c r="A117" s="223"/>
      <c r="B117" s="223"/>
      <c r="C117" s="223"/>
      <c r="D117" s="223"/>
      <c r="E117" s="223"/>
      <c r="F117" s="223"/>
      <c r="G117" s="223"/>
      <c r="H117" s="223"/>
    </row>
    <row r="118" spans="1:8">
      <c r="A118" s="223"/>
      <c r="B118" s="223"/>
      <c r="C118" s="223"/>
      <c r="D118" s="223"/>
      <c r="E118" s="223"/>
      <c r="F118" s="223"/>
      <c r="G118" s="223"/>
      <c r="H118" s="223"/>
    </row>
    <row r="119" spans="1:8">
      <c r="A119" s="223"/>
      <c r="B119" s="223"/>
      <c r="C119" s="223"/>
      <c r="D119" s="223"/>
      <c r="E119" s="223"/>
      <c r="F119" s="223"/>
      <c r="G119" s="223"/>
      <c r="H119" s="223"/>
    </row>
    <row r="120" spans="1:8">
      <c r="A120" s="223"/>
      <c r="B120" s="223"/>
      <c r="C120" s="223"/>
      <c r="D120" s="223"/>
      <c r="E120" s="223"/>
      <c r="F120" s="223"/>
      <c r="G120" s="223"/>
      <c r="H120" s="223"/>
    </row>
    <row r="121" spans="1:8">
      <c r="A121" s="223"/>
      <c r="B121" s="223"/>
      <c r="C121" s="223"/>
      <c r="D121" s="223"/>
      <c r="E121" s="223"/>
      <c r="F121" s="223"/>
      <c r="G121" s="223"/>
      <c r="H121" s="223"/>
    </row>
    <row r="122" spans="1:8">
      <c r="A122" s="223"/>
      <c r="B122" s="223"/>
      <c r="C122" s="223"/>
      <c r="D122" s="223"/>
      <c r="E122" s="223"/>
      <c r="F122" s="223"/>
      <c r="G122" s="223"/>
      <c r="H122" s="223"/>
    </row>
    <row r="123" spans="1:8">
      <c r="A123" s="223"/>
      <c r="B123" s="223"/>
      <c r="C123" s="223"/>
      <c r="D123" s="223"/>
      <c r="E123" s="223"/>
      <c r="F123" s="223"/>
      <c r="G123" s="223"/>
      <c r="H123" s="223"/>
    </row>
    <row r="124" spans="1:8">
      <c r="A124" s="223"/>
      <c r="B124" s="223"/>
      <c r="C124" s="223"/>
      <c r="D124" s="223"/>
      <c r="E124" s="223"/>
      <c r="F124" s="223"/>
      <c r="G124" s="223"/>
      <c r="H124" s="223"/>
    </row>
    <row r="125" spans="1:8">
      <c r="A125" s="223"/>
      <c r="B125" s="223"/>
      <c r="C125" s="223"/>
      <c r="D125" s="223"/>
      <c r="E125" s="223"/>
      <c r="F125" s="223"/>
      <c r="G125" s="223"/>
      <c r="H125" s="223"/>
    </row>
    <row r="126" spans="1:8">
      <c r="A126" s="223"/>
      <c r="B126" s="223"/>
      <c r="C126" s="223"/>
      <c r="D126" s="223"/>
      <c r="E126" s="223"/>
      <c r="F126" s="223"/>
      <c r="G126" s="223"/>
      <c r="H126" s="223"/>
    </row>
    <row r="127" spans="1:8">
      <c r="A127" s="223"/>
      <c r="B127" s="223"/>
      <c r="C127" s="223"/>
      <c r="D127" s="223"/>
      <c r="E127" s="223"/>
      <c r="F127" s="223"/>
      <c r="G127" s="223"/>
      <c r="H127" s="223"/>
    </row>
    <row r="128" spans="1:8">
      <c r="A128" s="223"/>
      <c r="B128" s="223"/>
      <c r="C128" s="223"/>
      <c r="D128" s="223"/>
      <c r="E128" s="223"/>
      <c r="F128" s="223"/>
      <c r="G128" s="223"/>
      <c r="H128" s="223"/>
    </row>
    <row r="129" spans="1:8">
      <c r="A129" s="223"/>
      <c r="B129" s="223"/>
      <c r="C129" s="223"/>
      <c r="D129" s="223"/>
      <c r="E129" s="223"/>
      <c r="F129" s="223"/>
      <c r="G129" s="223"/>
      <c r="H129" s="223"/>
    </row>
    <row r="130" spans="1:8">
      <c r="A130" s="223"/>
      <c r="B130" s="223"/>
      <c r="C130" s="223"/>
      <c r="D130" s="223"/>
      <c r="E130" s="223"/>
      <c r="F130" s="223"/>
      <c r="G130" s="223"/>
      <c r="H130" s="223"/>
    </row>
    <row r="131" spans="1:8">
      <c r="A131" s="223"/>
      <c r="B131" s="223"/>
      <c r="C131" s="223"/>
      <c r="D131" s="223"/>
      <c r="E131" s="223"/>
      <c r="F131" s="223"/>
      <c r="G131" s="223"/>
      <c r="H131" s="223"/>
    </row>
    <row r="132" spans="1:8">
      <c r="A132" s="223"/>
      <c r="B132" s="223"/>
      <c r="C132" s="223"/>
      <c r="D132" s="223"/>
      <c r="E132" s="223"/>
      <c r="F132" s="223"/>
      <c r="G132" s="223"/>
      <c r="H132" s="223"/>
    </row>
    <row r="133" spans="1:8">
      <c r="A133" s="223"/>
      <c r="B133" s="223"/>
      <c r="C133" s="223"/>
      <c r="D133" s="223"/>
      <c r="E133" s="223"/>
      <c r="F133" s="223"/>
      <c r="G133" s="223"/>
      <c r="H133" s="223"/>
    </row>
    <row r="134" spans="1:8">
      <c r="A134" s="223"/>
      <c r="B134" s="223"/>
      <c r="C134" s="223"/>
      <c r="D134" s="223"/>
      <c r="E134" s="223"/>
      <c r="F134" s="223"/>
      <c r="G134" s="223"/>
      <c r="H134" s="223"/>
    </row>
    <row r="135" spans="1:8">
      <c r="A135" s="223"/>
      <c r="B135" s="223"/>
      <c r="C135" s="223"/>
      <c r="D135" s="223"/>
      <c r="E135" s="223"/>
      <c r="F135" s="223"/>
      <c r="G135" s="223"/>
      <c r="H135" s="223"/>
    </row>
    <row r="136" spans="1:8">
      <c r="A136" s="223"/>
      <c r="B136" s="223"/>
      <c r="C136" s="223"/>
      <c r="D136" s="223"/>
      <c r="E136" s="223"/>
      <c r="F136" s="223"/>
      <c r="G136" s="223"/>
      <c r="H136" s="223"/>
    </row>
    <row r="137" spans="1:8">
      <c r="A137" s="223"/>
      <c r="B137" s="223"/>
      <c r="C137" s="223"/>
      <c r="D137" s="223"/>
      <c r="E137" s="223"/>
      <c r="F137" s="223"/>
      <c r="G137" s="223"/>
      <c r="H137" s="223"/>
    </row>
    <row r="138" spans="1:8">
      <c r="A138" s="223"/>
      <c r="B138" s="223"/>
      <c r="C138" s="223"/>
      <c r="D138" s="223"/>
      <c r="E138" s="223"/>
      <c r="F138" s="223"/>
      <c r="G138" s="223"/>
      <c r="H138" s="223"/>
    </row>
    <row r="139" spans="1:8">
      <c r="A139" s="223"/>
      <c r="B139" s="223"/>
      <c r="C139" s="223"/>
      <c r="D139" s="223"/>
      <c r="E139" s="223"/>
      <c r="F139" s="223"/>
      <c r="G139" s="223"/>
      <c r="H139" s="223"/>
    </row>
    <row r="140" spans="1:8">
      <c r="A140" s="223"/>
      <c r="B140" s="223"/>
      <c r="C140" s="223"/>
      <c r="D140" s="223"/>
      <c r="E140" s="223"/>
      <c r="F140" s="223"/>
      <c r="G140" s="223"/>
      <c r="H140" s="223"/>
    </row>
    <row r="141" spans="1:8">
      <c r="A141" s="223"/>
      <c r="B141" s="223"/>
      <c r="C141" s="223"/>
      <c r="D141" s="223"/>
      <c r="E141" s="223"/>
      <c r="F141" s="223"/>
      <c r="G141" s="223"/>
      <c r="H141" s="223"/>
    </row>
    <row r="142" spans="1:8">
      <c r="A142" s="223"/>
      <c r="B142" s="223"/>
      <c r="C142" s="223"/>
      <c r="D142" s="223"/>
      <c r="E142" s="223"/>
      <c r="F142" s="223"/>
      <c r="G142" s="223"/>
      <c r="H142" s="223"/>
    </row>
    <row r="143" spans="1:8">
      <c r="A143" s="223"/>
      <c r="B143" s="223"/>
      <c r="C143" s="223"/>
      <c r="D143" s="223"/>
      <c r="E143" s="223"/>
      <c r="F143" s="223"/>
      <c r="G143" s="223"/>
      <c r="H143" s="223"/>
    </row>
    <row r="144" spans="1:8">
      <c r="A144" s="223"/>
      <c r="B144" s="223"/>
      <c r="C144" s="223"/>
      <c r="D144" s="223"/>
      <c r="E144" s="223"/>
      <c r="F144" s="223"/>
      <c r="G144" s="223"/>
      <c r="H144" s="223"/>
    </row>
    <row r="145" spans="1:8">
      <c r="A145" s="223"/>
      <c r="B145" s="223"/>
      <c r="C145" s="223"/>
      <c r="D145" s="223"/>
      <c r="E145" s="223"/>
      <c r="F145" s="223"/>
      <c r="G145" s="223"/>
      <c r="H145" s="223"/>
    </row>
    <row r="146" spans="1:8">
      <c r="A146" s="223"/>
      <c r="B146" s="223"/>
      <c r="C146" s="223"/>
      <c r="D146" s="223"/>
      <c r="E146" s="223"/>
      <c r="F146" s="223"/>
      <c r="G146" s="223"/>
      <c r="H146" s="223"/>
    </row>
    <row r="147" spans="1:8">
      <c r="A147" s="223"/>
      <c r="B147" s="223"/>
      <c r="C147" s="223"/>
      <c r="D147" s="223"/>
      <c r="E147" s="223"/>
      <c r="F147" s="223"/>
      <c r="G147" s="223"/>
      <c r="H147" s="223"/>
    </row>
    <row r="148" spans="1:8">
      <c r="A148" s="223"/>
      <c r="B148" s="223"/>
      <c r="C148" s="223"/>
      <c r="D148" s="223"/>
      <c r="E148" s="223"/>
      <c r="F148" s="223"/>
      <c r="G148" s="223"/>
      <c r="H148" s="223"/>
    </row>
    <row r="149" spans="1:8">
      <c r="A149" s="223"/>
      <c r="B149" s="223"/>
      <c r="C149" s="223"/>
      <c r="D149" s="223"/>
      <c r="E149" s="223"/>
      <c r="F149" s="223"/>
      <c r="G149" s="223"/>
      <c r="H149" s="223"/>
    </row>
    <row r="150" spans="1:8">
      <c r="A150" s="223"/>
      <c r="B150" s="223"/>
      <c r="C150" s="223"/>
      <c r="D150" s="223"/>
      <c r="E150" s="223"/>
      <c r="F150" s="223"/>
      <c r="G150" s="223"/>
      <c r="H150" s="223"/>
    </row>
    <row r="151" spans="1:8">
      <c r="A151" s="223"/>
      <c r="B151" s="223"/>
      <c r="C151" s="223"/>
      <c r="D151" s="223"/>
      <c r="E151" s="223"/>
      <c r="F151" s="223"/>
      <c r="G151" s="223"/>
      <c r="H151" s="223"/>
    </row>
    <row r="152" spans="1:8">
      <c r="A152" s="223"/>
      <c r="B152" s="223"/>
      <c r="C152" s="223"/>
      <c r="D152" s="223"/>
      <c r="E152" s="223"/>
      <c r="F152" s="223"/>
      <c r="G152" s="223"/>
      <c r="H152" s="223"/>
    </row>
    <row r="153" spans="1:8">
      <c r="A153" s="223"/>
      <c r="B153" s="223"/>
      <c r="C153" s="223"/>
      <c r="D153" s="223"/>
      <c r="E153" s="223"/>
      <c r="F153" s="223"/>
      <c r="G153" s="223"/>
      <c r="H153" s="223"/>
    </row>
    <row r="154" spans="1:8">
      <c r="A154" s="223"/>
      <c r="B154" s="223"/>
      <c r="C154" s="223"/>
      <c r="D154" s="223"/>
      <c r="E154" s="223"/>
      <c r="F154" s="223"/>
      <c r="G154" s="223"/>
      <c r="H154" s="223"/>
    </row>
    <row r="155" spans="1:8">
      <c r="A155" s="223"/>
      <c r="B155" s="223"/>
      <c r="C155" s="223"/>
      <c r="D155" s="223"/>
      <c r="E155" s="223"/>
      <c r="F155" s="223"/>
      <c r="G155" s="223"/>
      <c r="H155" s="223"/>
    </row>
    <row r="156" spans="1:8">
      <c r="A156" s="223"/>
      <c r="B156" s="223"/>
      <c r="C156" s="223"/>
      <c r="D156" s="223"/>
      <c r="E156" s="223"/>
      <c r="F156" s="223"/>
      <c r="G156" s="223"/>
      <c r="H156" s="223"/>
    </row>
    <row r="157" spans="1:8">
      <c r="A157" s="223"/>
      <c r="B157" s="223"/>
      <c r="C157" s="223"/>
      <c r="D157" s="223"/>
      <c r="E157" s="223"/>
      <c r="F157" s="223"/>
      <c r="G157" s="223"/>
      <c r="H157" s="223"/>
    </row>
    <row r="158" spans="1:8">
      <c r="A158" s="223"/>
      <c r="B158" s="223"/>
      <c r="C158" s="223"/>
      <c r="D158" s="223"/>
      <c r="E158" s="223"/>
      <c r="F158" s="223"/>
      <c r="G158" s="223"/>
      <c r="H158" s="223"/>
    </row>
    <row r="159" spans="1:8">
      <c r="A159" s="223"/>
      <c r="B159" s="223"/>
      <c r="C159" s="223"/>
      <c r="D159" s="223"/>
      <c r="E159" s="223"/>
      <c r="F159" s="223"/>
      <c r="G159" s="223"/>
      <c r="H159" s="223"/>
    </row>
    <row r="160" spans="1:8">
      <c r="A160" s="223"/>
      <c r="B160" s="223"/>
      <c r="C160" s="223"/>
      <c r="D160" s="223"/>
      <c r="E160" s="223"/>
      <c r="F160" s="223"/>
      <c r="G160" s="223"/>
      <c r="H160" s="223"/>
    </row>
    <row r="161" spans="1:8">
      <c r="A161" s="223"/>
      <c r="B161" s="223"/>
      <c r="C161" s="223"/>
      <c r="D161" s="223"/>
      <c r="E161" s="223"/>
      <c r="F161" s="223"/>
      <c r="G161" s="223"/>
      <c r="H161" s="223"/>
    </row>
    <row r="162" spans="1:8">
      <c r="A162" s="223"/>
      <c r="B162" s="223"/>
      <c r="C162" s="223"/>
      <c r="D162" s="223"/>
      <c r="E162" s="223"/>
      <c r="F162" s="223"/>
      <c r="G162" s="223"/>
      <c r="H162" s="223"/>
    </row>
    <row r="163" spans="1:8">
      <c r="A163" s="223"/>
      <c r="B163" s="223"/>
      <c r="C163" s="223"/>
      <c r="D163" s="223"/>
      <c r="E163" s="223"/>
      <c r="F163" s="223"/>
      <c r="G163" s="223"/>
      <c r="H163" s="223"/>
    </row>
    <row r="164" spans="1:8">
      <c r="A164" s="223"/>
      <c r="B164" s="223"/>
      <c r="C164" s="223"/>
      <c r="D164" s="223"/>
      <c r="E164" s="223"/>
      <c r="F164" s="223"/>
      <c r="G164" s="223"/>
      <c r="H164" s="223"/>
    </row>
    <row r="165" spans="1:8">
      <c r="A165" s="223"/>
      <c r="B165" s="223"/>
      <c r="C165" s="223"/>
      <c r="D165" s="223"/>
      <c r="E165" s="223"/>
      <c r="F165" s="223"/>
      <c r="G165" s="223"/>
      <c r="H165" s="223"/>
    </row>
    <row r="166" spans="1:8">
      <c r="A166" s="223"/>
      <c r="B166" s="223"/>
      <c r="C166" s="223"/>
      <c r="D166" s="223"/>
      <c r="E166" s="223"/>
      <c r="F166" s="223"/>
      <c r="G166" s="223"/>
      <c r="H166" s="223"/>
    </row>
    <row r="167" spans="1:8">
      <c r="A167" s="223"/>
      <c r="B167" s="223"/>
      <c r="C167" s="223"/>
      <c r="D167" s="223"/>
      <c r="E167" s="223"/>
      <c r="F167" s="223"/>
      <c r="G167" s="223"/>
      <c r="H167" s="223"/>
    </row>
    <row r="168" spans="1:8">
      <c r="A168" s="223"/>
      <c r="B168" s="223"/>
      <c r="C168" s="223"/>
      <c r="D168" s="223"/>
      <c r="E168" s="223"/>
      <c r="F168" s="223"/>
      <c r="G168" s="223"/>
      <c r="H168" s="223"/>
    </row>
    <row r="169" spans="1:8">
      <c r="A169" s="223"/>
      <c r="B169" s="223"/>
      <c r="C169" s="223"/>
      <c r="D169" s="223"/>
      <c r="E169" s="223"/>
      <c r="F169" s="223"/>
      <c r="G169" s="223"/>
      <c r="H169" s="223"/>
    </row>
    <row r="170" spans="1:8">
      <c r="A170" s="223"/>
      <c r="B170" s="223"/>
      <c r="C170" s="223"/>
      <c r="D170" s="223"/>
      <c r="E170" s="223"/>
      <c r="F170" s="223"/>
      <c r="G170" s="223"/>
      <c r="H170" s="223"/>
    </row>
    <row r="171" spans="1:8">
      <c r="A171" s="223"/>
      <c r="B171" s="223"/>
      <c r="C171" s="223"/>
      <c r="D171" s="223"/>
      <c r="E171" s="223"/>
      <c r="F171" s="223"/>
      <c r="G171" s="223"/>
      <c r="H171" s="223"/>
    </row>
    <row r="172" spans="1:8">
      <c r="A172" s="223"/>
      <c r="B172" s="223"/>
      <c r="C172" s="223"/>
      <c r="D172" s="223"/>
      <c r="E172" s="223"/>
      <c r="F172" s="223"/>
      <c r="G172" s="223"/>
      <c r="H172" s="223"/>
    </row>
    <row r="173" spans="1:8">
      <c r="A173" s="223"/>
      <c r="B173" s="223"/>
      <c r="C173" s="223"/>
      <c r="D173" s="223"/>
      <c r="E173" s="223"/>
      <c r="F173" s="223"/>
      <c r="G173" s="223"/>
      <c r="H173" s="223"/>
    </row>
    <row r="174" spans="1:8">
      <c r="A174" s="223"/>
      <c r="B174" s="223"/>
      <c r="C174" s="223"/>
      <c r="D174" s="223"/>
      <c r="E174" s="223"/>
      <c r="F174" s="223"/>
      <c r="G174" s="223"/>
      <c r="H174" s="223"/>
    </row>
    <row r="175" spans="1:8">
      <c r="A175" s="223"/>
      <c r="B175" s="223"/>
      <c r="C175" s="223"/>
      <c r="D175" s="223"/>
      <c r="E175" s="223"/>
      <c r="F175" s="223"/>
      <c r="G175" s="223"/>
      <c r="H175" s="223"/>
    </row>
    <row r="176" spans="1:8">
      <c r="A176" s="223"/>
      <c r="B176" s="223"/>
      <c r="C176" s="223"/>
      <c r="D176" s="223"/>
      <c r="E176" s="223"/>
      <c r="F176" s="223"/>
      <c r="G176" s="223"/>
      <c r="H176" s="223"/>
    </row>
    <row r="177" spans="1:8">
      <c r="A177" s="223"/>
      <c r="B177" s="223"/>
      <c r="C177" s="223"/>
      <c r="D177" s="223"/>
      <c r="E177" s="223"/>
      <c r="F177" s="223"/>
      <c r="G177" s="223"/>
      <c r="H177" s="223"/>
    </row>
    <row r="178" spans="1:8">
      <c r="A178" s="223"/>
      <c r="B178" s="223"/>
      <c r="C178" s="223"/>
      <c r="D178" s="223"/>
      <c r="E178" s="223"/>
      <c r="F178" s="223"/>
      <c r="G178" s="223"/>
      <c r="H178" s="223"/>
    </row>
    <row r="179" spans="1:8">
      <c r="A179" s="223"/>
      <c r="B179" s="223"/>
      <c r="C179" s="223"/>
      <c r="D179" s="223"/>
      <c r="E179" s="223"/>
      <c r="F179" s="223"/>
      <c r="G179" s="223"/>
      <c r="H179" s="223"/>
    </row>
    <row r="180" spans="1:8">
      <c r="A180" s="223"/>
      <c r="B180" s="223"/>
      <c r="C180" s="223"/>
      <c r="D180" s="223"/>
      <c r="E180" s="223"/>
      <c r="F180" s="223"/>
      <c r="G180" s="223"/>
      <c r="H180" s="223"/>
    </row>
    <row r="181" spans="1:8">
      <c r="A181" s="223"/>
      <c r="B181" s="223"/>
      <c r="C181" s="223"/>
      <c r="D181" s="223"/>
      <c r="E181" s="223"/>
      <c r="F181" s="223"/>
      <c r="G181" s="223"/>
      <c r="H181" s="223"/>
    </row>
    <row r="182" spans="1:8">
      <c r="A182" s="223"/>
      <c r="B182" s="223"/>
      <c r="C182" s="223"/>
      <c r="D182" s="223"/>
      <c r="E182" s="223"/>
      <c r="F182" s="223"/>
      <c r="G182" s="223"/>
      <c r="H182" s="223"/>
    </row>
    <row r="183" spans="1:8">
      <c r="A183" s="223"/>
      <c r="B183" s="223"/>
      <c r="C183" s="223"/>
      <c r="D183" s="223"/>
      <c r="E183" s="223"/>
      <c r="F183" s="223"/>
      <c r="G183" s="223"/>
      <c r="H183" s="223"/>
    </row>
    <row r="184" spans="1:8">
      <c r="A184" s="223"/>
      <c r="B184" s="223"/>
      <c r="C184" s="223"/>
      <c r="D184" s="223"/>
      <c r="E184" s="223"/>
      <c r="F184" s="223"/>
      <c r="G184" s="223"/>
      <c r="H184" s="223"/>
    </row>
    <row r="185" spans="1:8">
      <c r="A185" s="223"/>
      <c r="B185" s="223"/>
      <c r="C185" s="223"/>
      <c r="D185" s="223"/>
      <c r="E185" s="223"/>
      <c r="F185" s="223"/>
      <c r="G185" s="223"/>
      <c r="H185" s="223"/>
    </row>
    <row r="186" spans="1:8">
      <c r="A186" s="223"/>
      <c r="B186" s="223"/>
      <c r="C186" s="223"/>
      <c r="D186" s="223"/>
      <c r="E186" s="223"/>
      <c r="F186" s="223"/>
      <c r="G186" s="223"/>
      <c r="H186" s="223"/>
    </row>
    <row r="187" spans="1:8">
      <c r="A187" s="223"/>
      <c r="B187" s="223"/>
      <c r="C187" s="223"/>
      <c r="D187" s="223"/>
      <c r="E187" s="223"/>
      <c r="F187" s="223"/>
      <c r="G187" s="223"/>
      <c r="H187" s="223"/>
    </row>
    <row r="188" spans="1:8">
      <c r="A188" s="223"/>
      <c r="B188" s="223"/>
      <c r="C188" s="223"/>
      <c r="D188" s="223"/>
      <c r="E188" s="223"/>
      <c r="F188" s="223"/>
      <c r="G188" s="223"/>
      <c r="H188" s="223"/>
    </row>
    <row r="189" spans="1:8">
      <c r="A189" s="223"/>
      <c r="B189" s="223"/>
      <c r="C189" s="223"/>
      <c r="D189" s="223"/>
      <c r="E189" s="223"/>
      <c r="F189" s="223"/>
      <c r="G189" s="223"/>
      <c r="H189" s="223"/>
    </row>
    <row r="190" spans="1:8">
      <c r="A190" s="223"/>
      <c r="B190" s="223"/>
      <c r="C190" s="223"/>
      <c r="D190" s="223"/>
      <c r="E190" s="223"/>
      <c r="F190" s="223"/>
      <c r="G190" s="223"/>
      <c r="H190" s="223"/>
    </row>
    <row r="191" spans="1:8">
      <c r="A191" s="223"/>
      <c r="B191" s="223"/>
      <c r="C191" s="223"/>
      <c r="D191" s="223"/>
      <c r="E191" s="223"/>
      <c r="F191" s="223"/>
      <c r="G191" s="223"/>
      <c r="H191" s="223"/>
    </row>
    <row r="192" spans="1:8">
      <c r="A192" s="223"/>
      <c r="B192" s="223"/>
      <c r="C192" s="223"/>
      <c r="D192" s="223"/>
      <c r="E192" s="223"/>
      <c r="F192" s="223"/>
      <c r="G192" s="223"/>
      <c r="H192" s="223"/>
    </row>
    <row r="193" spans="1:8">
      <c r="A193" s="223"/>
      <c r="B193" s="223"/>
      <c r="C193" s="223"/>
      <c r="D193" s="223"/>
      <c r="E193" s="223"/>
      <c r="F193" s="223"/>
      <c r="G193" s="223"/>
      <c r="H193" s="223"/>
    </row>
    <row r="194" spans="1:8">
      <c r="A194" s="223"/>
      <c r="B194" s="223"/>
      <c r="C194" s="223"/>
      <c r="D194" s="223"/>
      <c r="E194" s="223"/>
      <c r="F194" s="223"/>
      <c r="G194" s="223"/>
      <c r="H194" s="223"/>
    </row>
    <row r="195" spans="1:8">
      <c r="A195" s="223"/>
      <c r="B195" s="223"/>
      <c r="C195" s="223"/>
      <c r="D195" s="223"/>
      <c r="E195" s="223"/>
      <c r="F195" s="223"/>
      <c r="G195" s="223"/>
      <c r="H195" s="223"/>
    </row>
    <row r="196" spans="1:8">
      <c r="A196" s="223"/>
      <c r="B196" s="223"/>
      <c r="C196" s="223"/>
      <c r="D196" s="223"/>
      <c r="E196" s="223"/>
      <c r="F196" s="223"/>
      <c r="G196" s="223"/>
      <c r="H196" s="223"/>
    </row>
    <row r="197" spans="1:8">
      <c r="A197" s="223"/>
      <c r="B197" s="223"/>
      <c r="C197" s="223"/>
      <c r="D197" s="223"/>
      <c r="E197" s="223"/>
      <c r="F197" s="223"/>
      <c r="G197" s="223"/>
      <c r="H197" s="223"/>
    </row>
    <row r="198" spans="1:8">
      <c r="A198" s="223"/>
      <c r="B198" s="223"/>
      <c r="C198" s="223"/>
      <c r="D198" s="223"/>
      <c r="E198" s="223"/>
      <c r="F198" s="223"/>
      <c r="G198" s="223"/>
      <c r="H198" s="223"/>
    </row>
    <row r="199" spans="1:8">
      <c r="A199" s="223"/>
      <c r="B199" s="223"/>
      <c r="C199" s="223"/>
      <c r="D199" s="223"/>
      <c r="E199" s="223"/>
      <c r="F199" s="223"/>
      <c r="G199" s="223"/>
      <c r="H199" s="223"/>
    </row>
    <row r="200" spans="1:8">
      <c r="A200" s="223"/>
      <c r="B200" s="223"/>
      <c r="C200" s="223"/>
      <c r="D200" s="223"/>
      <c r="E200" s="223"/>
      <c r="F200" s="223"/>
      <c r="G200" s="223"/>
      <c r="H200" s="223"/>
    </row>
    <row r="201" spans="1:8">
      <c r="A201" s="223"/>
      <c r="B201" s="223"/>
      <c r="C201" s="223"/>
      <c r="D201" s="223"/>
      <c r="E201" s="223"/>
      <c r="F201" s="223"/>
      <c r="G201" s="223"/>
      <c r="H201" s="223"/>
    </row>
    <row r="202" spans="1:8">
      <c r="A202" s="223"/>
      <c r="B202" s="223"/>
      <c r="C202" s="223"/>
      <c r="D202" s="223"/>
      <c r="E202" s="223"/>
      <c r="F202" s="223"/>
      <c r="G202" s="223"/>
      <c r="H202" s="223"/>
    </row>
    <row r="203" spans="1:8">
      <c r="A203" s="223"/>
      <c r="B203" s="223"/>
      <c r="C203" s="223"/>
      <c r="D203" s="223"/>
      <c r="E203" s="223"/>
      <c r="F203" s="223"/>
      <c r="G203" s="223"/>
      <c r="H203" s="223"/>
    </row>
    <row r="204" spans="1:8">
      <c r="A204" s="223"/>
      <c r="B204" s="223"/>
      <c r="C204" s="223"/>
      <c r="D204" s="223"/>
      <c r="E204" s="223"/>
      <c r="F204" s="223"/>
      <c r="G204" s="223"/>
      <c r="H204" s="223"/>
    </row>
    <row r="205" spans="1:8">
      <c r="A205" s="223"/>
      <c r="B205" s="223"/>
      <c r="C205" s="223"/>
      <c r="D205" s="223"/>
      <c r="E205" s="223"/>
      <c r="F205" s="223"/>
      <c r="G205" s="223"/>
      <c r="H205" s="223"/>
    </row>
    <row r="206" spans="1:8">
      <c r="A206" s="223"/>
      <c r="B206" s="223"/>
      <c r="C206" s="223"/>
      <c r="D206" s="223"/>
      <c r="E206" s="223"/>
      <c r="F206" s="223"/>
      <c r="G206" s="223"/>
      <c r="H206" s="223"/>
    </row>
    <row r="207" spans="1:8">
      <c r="A207" s="223"/>
      <c r="B207" s="223"/>
      <c r="C207" s="223"/>
      <c r="D207" s="223"/>
      <c r="E207" s="223"/>
      <c r="F207" s="223"/>
      <c r="G207" s="223"/>
      <c r="H207" s="223"/>
    </row>
    <row r="208" spans="1:8">
      <c r="A208" s="223"/>
      <c r="B208" s="223"/>
      <c r="C208" s="223"/>
      <c r="D208" s="223"/>
      <c r="E208" s="223"/>
      <c r="F208" s="223"/>
      <c r="G208" s="223"/>
      <c r="H208" s="223"/>
    </row>
    <row r="209" spans="1:8">
      <c r="A209" s="223"/>
      <c r="B209" s="223"/>
      <c r="C209" s="223"/>
      <c r="D209" s="223"/>
      <c r="E209" s="223"/>
      <c r="F209" s="223"/>
      <c r="G209" s="223"/>
      <c r="H209" s="223"/>
    </row>
    <row r="210" spans="1:8">
      <c r="A210" s="223"/>
      <c r="B210" s="223"/>
      <c r="C210" s="223"/>
      <c r="D210" s="223"/>
      <c r="E210" s="223"/>
      <c r="F210" s="223"/>
      <c r="G210" s="223"/>
      <c r="H210" s="223"/>
    </row>
    <row r="211" spans="1:8">
      <c r="A211" s="223"/>
      <c r="B211" s="223"/>
      <c r="C211" s="223"/>
      <c r="D211" s="223"/>
      <c r="E211" s="223"/>
      <c r="F211" s="223"/>
      <c r="G211" s="223"/>
      <c r="H211" s="223"/>
    </row>
    <row r="212" spans="1:8">
      <c r="A212" s="223"/>
      <c r="B212" s="223"/>
      <c r="C212" s="223"/>
      <c r="D212" s="223"/>
      <c r="E212" s="223"/>
      <c r="F212" s="223"/>
      <c r="G212" s="223"/>
      <c r="H212" s="223"/>
    </row>
    <row r="213" spans="1:8">
      <c r="A213" s="223"/>
      <c r="B213" s="223"/>
      <c r="C213" s="223"/>
      <c r="D213" s="223"/>
      <c r="E213" s="223"/>
      <c r="F213" s="223"/>
      <c r="G213" s="223"/>
      <c r="H213" s="223"/>
    </row>
    <row r="214" spans="1:8">
      <c r="A214" s="223"/>
      <c r="B214" s="223"/>
      <c r="C214" s="223"/>
      <c r="D214" s="223"/>
      <c r="E214" s="223"/>
      <c r="F214" s="223"/>
      <c r="G214" s="223"/>
      <c r="H214" s="223"/>
    </row>
    <row r="215" spans="1:8">
      <c r="A215" s="223"/>
      <c r="B215" s="223"/>
      <c r="C215" s="223"/>
      <c r="D215" s="223"/>
      <c r="E215" s="223"/>
      <c r="F215" s="223"/>
      <c r="G215" s="223"/>
      <c r="H215" s="223"/>
    </row>
    <row r="216" spans="1:8">
      <c r="A216" s="223"/>
      <c r="B216" s="223"/>
      <c r="C216" s="223"/>
      <c r="D216" s="223"/>
      <c r="E216" s="223"/>
      <c r="F216" s="223"/>
      <c r="G216" s="223"/>
      <c r="H216" s="223"/>
    </row>
    <row r="217" spans="1:8">
      <c r="A217" s="223"/>
      <c r="B217" s="223"/>
      <c r="C217" s="223"/>
      <c r="D217" s="223"/>
      <c r="E217" s="223"/>
      <c r="F217" s="223"/>
      <c r="G217" s="223"/>
      <c r="H217" s="223"/>
    </row>
    <row r="218" spans="1:8">
      <c r="A218" s="223"/>
      <c r="B218" s="223"/>
      <c r="C218" s="223"/>
      <c r="D218" s="223"/>
      <c r="E218" s="223"/>
      <c r="F218" s="223"/>
      <c r="G218" s="223"/>
      <c r="H218" s="223"/>
    </row>
    <row r="219" spans="1:8">
      <c r="A219" s="223"/>
      <c r="B219" s="223"/>
      <c r="C219" s="223"/>
      <c r="D219" s="223"/>
      <c r="E219" s="223"/>
      <c r="F219" s="223"/>
      <c r="G219" s="223"/>
      <c r="H219" s="223"/>
    </row>
    <row r="220" spans="1:8">
      <c r="A220" s="223"/>
      <c r="B220" s="223"/>
      <c r="C220" s="223"/>
      <c r="D220" s="223"/>
      <c r="E220" s="223"/>
      <c r="F220" s="223"/>
      <c r="G220" s="223"/>
      <c r="H220" s="223"/>
    </row>
    <row r="221" spans="1:8">
      <c r="A221" s="223"/>
      <c r="B221" s="223"/>
      <c r="C221" s="223"/>
      <c r="D221" s="223"/>
      <c r="E221" s="223"/>
      <c r="F221" s="223"/>
      <c r="G221" s="223"/>
      <c r="H221" s="223"/>
    </row>
    <row r="222" spans="1:8">
      <c r="A222" s="223"/>
      <c r="B222" s="223"/>
      <c r="C222" s="223"/>
      <c r="D222" s="223"/>
      <c r="E222" s="223"/>
      <c r="F222" s="223"/>
      <c r="G222" s="223"/>
      <c r="H222" s="223"/>
    </row>
    <row r="223" spans="1:8">
      <c r="A223" s="223"/>
      <c r="B223" s="223"/>
      <c r="C223" s="223"/>
      <c r="D223" s="223"/>
      <c r="E223" s="223"/>
      <c r="F223" s="223"/>
      <c r="G223" s="223"/>
      <c r="H223" s="223"/>
    </row>
    <row r="224" spans="1:8">
      <c r="A224" s="223"/>
      <c r="B224" s="223"/>
      <c r="C224" s="223"/>
      <c r="D224" s="223"/>
      <c r="E224" s="223"/>
      <c r="F224" s="223"/>
      <c r="G224" s="223"/>
      <c r="H224" s="223"/>
    </row>
    <row r="225" spans="1:8">
      <c r="A225" s="223"/>
      <c r="B225" s="223"/>
      <c r="C225" s="223"/>
      <c r="D225" s="223"/>
      <c r="E225" s="223"/>
      <c r="F225" s="223"/>
      <c r="G225" s="223"/>
      <c r="H225" s="223"/>
    </row>
    <row r="226" spans="1:8">
      <c r="A226" s="223"/>
      <c r="B226" s="223"/>
      <c r="C226" s="223"/>
      <c r="D226" s="223"/>
      <c r="E226" s="223"/>
      <c r="F226" s="223"/>
      <c r="G226" s="223"/>
      <c r="H226" s="223"/>
    </row>
    <row r="227" spans="1:8">
      <c r="A227" s="223"/>
      <c r="B227" s="223"/>
      <c r="C227" s="223"/>
      <c r="D227" s="223"/>
      <c r="E227" s="223"/>
      <c r="F227" s="223"/>
      <c r="G227" s="223"/>
      <c r="H227" s="223"/>
    </row>
    <row r="228" spans="1:8">
      <c r="A228" s="223"/>
      <c r="B228" s="223"/>
      <c r="C228" s="223"/>
      <c r="D228" s="223"/>
      <c r="E228" s="223"/>
      <c r="F228" s="223"/>
      <c r="G228" s="223"/>
      <c r="H228" s="223"/>
    </row>
    <row r="229" spans="1:8">
      <c r="A229" s="223"/>
      <c r="B229" s="223"/>
      <c r="C229" s="223"/>
      <c r="D229" s="223"/>
      <c r="E229" s="223"/>
      <c r="F229" s="223"/>
      <c r="G229" s="223"/>
      <c r="H229" s="223"/>
    </row>
    <row r="230" spans="1:8">
      <c r="A230" s="223"/>
      <c r="B230" s="223"/>
      <c r="C230" s="223"/>
      <c r="D230" s="223"/>
      <c r="E230" s="223"/>
      <c r="F230" s="223"/>
      <c r="G230" s="223"/>
      <c r="H230" s="223"/>
    </row>
    <row r="231" spans="1:8">
      <c r="A231" s="223"/>
      <c r="B231" s="223"/>
      <c r="C231" s="223"/>
      <c r="D231" s="223"/>
      <c r="E231" s="223"/>
      <c r="F231" s="223"/>
      <c r="G231" s="223"/>
      <c r="H231" s="223"/>
    </row>
    <row r="232" spans="1:8">
      <c r="A232" s="223"/>
      <c r="B232" s="223"/>
      <c r="C232" s="223"/>
      <c r="D232" s="223"/>
      <c r="E232" s="223"/>
      <c r="F232" s="223"/>
      <c r="G232" s="223"/>
      <c r="H232" s="223"/>
    </row>
    <row r="233" spans="1:8">
      <c r="A233" s="223"/>
      <c r="B233" s="223"/>
      <c r="C233" s="223"/>
      <c r="D233" s="223"/>
      <c r="E233" s="223"/>
      <c r="F233" s="223"/>
      <c r="G233" s="223"/>
      <c r="H233" s="223"/>
    </row>
    <row r="234" spans="1:8">
      <c r="A234" s="223"/>
      <c r="B234" s="223"/>
      <c r="C234" s="223"/>
      <c r="D234" s="223"/>
      <c r="E234" s="223"/>
      <c r="F234" s="223"/>
      <c r="G234" s="223"/>
      <c r="H234" s="223"/>
    </row>
    <row r="235" spans="1:8">
      <c r="A235" s="223"/>
      <c r="B235" s="223"/>
      <c r="C235" s="223"/>
      <c r="D235" s="223"/>
      <c r="E235" s="223"/>
      <c r="F235" s="223"/>
      <c r="G235" s="223"/>
      <c r="H235" s="223"/>
    </row>
    <row r="236" spans="1:8">
      <c r="A236" s="223"/>
      <c r="B236" s="223"/>
      <c r="C236" s="223"/>
      <c r="D236" s="223"/>
      <c r="E236" s="223"/>
      <c r="F236" s="223"/>
      <c r="G236" s="223"/>
      <c r="H236" s="223"/>
    </row>
    <row r="237" spans="1:8">
      <c r="A237" s="223"/>
      <c r="B237" s="223"/>
      <c r="C237" s="223"/>
      <c r="D237" s="223"/>
      <c r="E237" s="223"/>
      <c r="F237" s="223"/>
      <c r="G237" s="223"/>
      <c r="H237" s="223"/>
    </row>
    <row r="238" spans="1:8">
      <c r="A238" s="223"/>
      <c r="B238" s="223"/>
      <c r="C238" s="223"/>
      <c r="D238" s="223"/>
      <c r="E238" s="223"/>
      <c r="F238" s="223"/>
      <c r="G238" s="223"/>
      <c r="H238" s="223"/>
    </row>
    <row r="239" spans="1:8">
      <c r="A239" s="223"/>
      <c r="B239" s="223"/>
      <c r="C239" s="223"/>
      <c r="D239" s="223"/>
      <c r="E239" s="223"/>
      <c r="F239" s="223"/>
      <c r="G239" s="223"/>
      <c r="H239" s="223"/>
    </row>
    <row r="240" spans="1:8">
      <c r="A240" s="223"/>
      <c r="B240" s="223"/>
      <c r="C240" s="223"/>
      <c r="D240" s="223"/>
      <c r="E240" s="223"/>
      <c r="F240" s="223"/>
      <c r="G240" s="223"/>
      <c r="H240" s="223"/>
    </row>
    <row r="241" spans="1:8">
      <c r="A241" s="223"/>
      <c r="B241" s="223"/>
      <c r="C241" s="223"/>
      <c r="D241" s="223"/>
      <c r="E241" s="223"/>
      <c r="F241" s="223"/>
      <c r="G241" s="223"/>
      <c r="H241" s="223"/>
    </row>
    <row r="242" spans="1:8">
      <c r="A242" s="223"/>
      <c r="B242" s="223"/>
      <c r="C242" s="223"/>
      <c r="D242" s="223"/>
      <c r="E242" s="223"/>
      <c r="F242" s="223"/>
      <c r="G242" s="223"/>
      <c r="H242" s="223"/>
    </row>
    <row r="243" spans="1:8">
      <c r="A243" s="223"/>
      <c r="B243" s="223"/>
      <c r="C243" s="223"/>
      <c r="D243" s="223"/>
      <c r="E243" s="223"/>
      <c r="F243" s="223"/>
      <c r="G243" s="223"/>
      <c r="H243" s="223"/>
    </row>
    <row r="244" spans="1:8">
      <c r="A244" s="223"/>
      <c r="B244" s="223"/>
      <c r="C244" s="223"/>
      <c r="D244" s="223"/>
      <c r="E244" s="223"/>
      <c r="F244" s="223"/>
      <c r="G244" s="223"/>
      <c r="H244" s="223"/>
    </row>
    <row r="245" spans="1:8">
      <c r="A245" s="223"/>
      <c r="B245" s="223"/>
      <c r="C245" s="223"/>
      <c r="D245" s="223"/>
      <c r="E245" s="223"/>
      <c r="F245" s="223"/>
      <c r="G245" s="223"/>
      <c r="H245" s="223"/>
    </row>
    <row r="246" spans="1:8">
      <c r="A246" s="223"/>
      <c r="B246" s="223"/>
      <c r="C246" s="223"/>
      <c r="D246" s="223"/>
      <c r="E246" s="223"/>
      <c r="F246" s="223"/>
      <c r="G246" s="223"/>
      <c r="H246" s="223"/>
    </row>
    <row r="247" spans="1:8">
      <c r="A247" s="223"/>
      <c r="B247" s="223"/>
      <c r="C247" s="223"/>
      <c r="D247" s="223"/>
      <c r="E247" s="223"/>
      <c r="F247" s="223"/>
      <c r="G247" s="223"/>
      <c r="H247" s="223"/>
    </row>
    <row r="248" spans="1:8">
      <c r="A248" s="223"/>
      <c r="B248" s="223"/>
      <c r="C248" s="223"/>
      <c r="D248" s="223"/>
      <c r="E248" s="223"/>
      <c r="F248" s="223"/>
      <c r="G248" s="223"/>
      <c r="H248" s="223"/>
    </row>
    <row r="249" spans="1:8">
      <c r="A249" s="223"/>
      <c r="B249" s="223"/>
      <c r="C249" s="223"/>
      <c r="D249" s="223"/>
      <c r="E249" s="223"/>
      <c r="F249" s="223"/>
      <c r="G249" s="223"/>
      <c r="H249" s="223"/>
    </row>
    <row r="250" spans="1:8">
      <c r="A250" s="223"/>
      <c r="B250" s="223"/>
      <c r="C250" s="223"/>
      <c r="D250" s="223"/>
      <c r="E250" s="223"/>
      <c r="F250" s="223"/>
      <c r="G250" s="223"/>
      <c r="H250" s="223"/>
    </row>
    <row r="251" spans="1:8">
      <c r="A251" s="223"/>
      <c r="B251" s="223"/>
      <c r="C251" s="223"/>
      <c r="D251" s="223"/>
      <c r="E251" s="223"/>
      <c r="F251" s="223"/>
      <c r="G251" s="223"/>
      <c r="H251" s="223"/>
    </row>
    <row r="252" spans="1:8">
      <c r="A252" s="223"/>
      <c r="B252" s="223"/>
      <c r="C252" s="223"/>
      <c r="D252" s="223"/>
      <c r="E252" s="223"/>
      <c r="F252" s="223"/>
      <c r="G252" s="223"/>
      <c r="H252" s="223"/>
    </row>
    <row r="253" spans="1:8">
      <c r="A253" s="223"/>
      <c r="B253" s="223"/>
      <c r="C253" s="223"/>
      <c r="D253" s="223"/>
      <c r="E253" s="223"/>
      <c r="F253" s="223"/>
      <c r="G253" s="223"/>
      <c r="H253" s="223"/>
    </row>
    <row r="254" spans="1:8">
      <c r="A254" s="223"/>
      <c r="B254" s="223"/>
      <c r="C254" s="223"/>
      <c r="D254" s="223"/>
      <c r="E254" s="223"/>
      <c r="F254" s="223"/>
      <c r="G254" s="223"/>
      <c r="H254" s="223"/>
    </row>
    <row r="255" spans="1:8">
      <c r="A255" s="223"/>
      <c r="B255" s="223"/>
      <c r="C255" s="223"/>
      <c r="D255" s="223"/>
      <c r="E255" s="223"/>
      <c r="F255" s="223"/>
      <c r="G255" s="223"/>
      <c r="H255" s="223"/>
    </row>
    <row r="256" spans="1:8">
      <c r="A256" s="223"/>
      <c r="B256" s="223"/>
      <c r="C256" s="223"/>
      <c r="D256" s="223"/>
      <c r="E256" s="223"/>
      <c r="F256" s="223"/>
      <c r="G256" s="223"/>
      <c r="H256" s="223"/>
    </row>
    <row r="257" spans="1:8">
      <c r="A257" s="223"/>
      <c r="B257" s="223"/>
      <c r="C257" s="223"/>
      <c r="D257" s="223"/>
      <c r="E257" s="223"/>
      <c r="F257" s="223"/>
      <c r="G257" s="223"/>
      <c r="H257" s="223"/>
    </row>
    <row r="258" spans="1:8">
      <c r="A258" s="223"/>
      <c r="B258" s="223"/>
      <c r="C258" s="223"/>
      <c r="D258" s="223"/>
      <c r="E258" s="223"/>
      <c r="F258" s="223"/>
      <c r="G258" s="223"/>
      <c r="H258" s="223"/>
    </row>
    <row r="259" spans="1:8">
      <c r="A259" s="223"/>
      <c r="B259" s="223"/>
      <c r="C259" s="223"/>
      <c r="D259" s="223"/>
      <c r="E259" s="223"/>
      <c r="F259" s="223"/>
      <c r="G259" s="223"/>
      <c r="H259" s="223"/>
    </row>
    <row r="260" spans="1:8">
      <c r="A260" s="223"/>
      <c r="B260" s="223"/>
      <c r="C260" s="223"/>
      <c r="D260" s="223"/>
      <c r="E260" s="223"/>
      <c r="F260" s="223"/>
      <c r="G260" s="223"/>
      <c r="H260" s="223"/>
    </row>
    <row r="261" spans="1:8">
      <c r="A261" s="223"/>
      <c r="B261" s="223"/>
      <c r="C261" s="223"/>
      <c r="D261" s="223"/>
      <c r="E261" s="223"/>
      <c r="F261" s="223"/>
      <c r="G261" s="223"/>
      <c r="H261" s="223"/>
    </row>
    <row r="262" spans="1:8">
      <c r="A262" s="223"/>
      <c r="B262" s="223"/>
      <c r="C262" s="223"/>
      <c r="D262" s="223"/>
      <c r="E262" s="223"/>
      <c r="F262" s="223"/>
      <c r="G262" s="223"/>
      <c r="H262" s="223"/>
    </row>
    <row r="263" spans="1:8">
      <c r="A263" s="223"/>
      <c r="B263" s="223"/>
      <c r="C263" s="223"/>
      <c r="D263" s="223"/>
      <c r="E263" s="223"/>
      <c r="F263" s="223"/>
      <c r="G263" s="223"/>
      <c r="H263" s="223"/>
    </row>
    <row r="264" spans="1:8">
      <c r="A264" s="223"/>
      <c r="B264" s="223"/>
      <c r="C264" s="223"/>
      <c r="D264" s="223"/>
      <c r="E264" s="223"/>
      <c r="F264" s="223"/>
      <c r="G264" s="223"/>
      <c r="H264" s="223"/>
    </row>
    <row r="265" spans="1:8">
      <c r="A265" s="223"/>
      <c r="B265" s="223"/>
      <c r="C265" s="223"/>
      <c r="D265" s="223"/>
      <c r="E265" s="223"/>
      <c r="F265" s="223"/>
      <c r="G265" s="223"/>
      <c r="H265" s="223"/>
    </row>
    <row r="266" spans="1:8">
      <c r="A266" s="223"/>
      <c r="B266" s="223"/>
      <c r="C266" s="223"/>
      <c r="D266" s="223"/>
      <c r="E266" s="223"/>
      <c r="F266" s="223"/>
      <c r="G266" s="223"/>
      <c r="H266" s="223"/>
    </row>
    <row r="267" spans="1:8">
      <c r="A267" s="223"/>
      <c r="B267" s="223"/>
      <c r="C267" s="223"/>
      <c r="D267" s="223"/>
      <c r="E267" s="223"/>
      <c r="F267" s="223"/>
      <c r="G267" s="223"/>
      <c r="H267" s="223"/>
    </row>
    <row r="268" spans="1:8">
      <c r="A268" s="223"/>
      <c r="B268" s="223"/>
      <c r="C268" s="223"/>
      <c r="D268" s="223"/>
      <c r="E268" s="223"/>
      <c r="F268" s="223"/>
      <c r="G268" s="223"/>
      <c r="H268" s="223"/>
    </row>
    <row r="269" spans="1:8">
      <c r="A269" s="223"/>
      <c r="B269" s="223"/>
      <c r="C269" s="223"/>
      <c r="D269" s="223"/>
      <c r="E269" s="223"/>
      <c r="F269" s="223"/>
      <c r="G269" s="223"/>
      <c r="H269" s="223"/>
    </row>
    <row r="270" spans="1:8">
      <c r="A270" s="223"/>
      <c r="B270" s="223"/>
      <c r="C270" s="223"/>
      <c r="D270" s="223"/>
      <c r="E270" s="223"/>
      <c r="F270" s="223"/>
      <c r="G270" s="223"/>
      <c r="H270" s="223"/>
    </row>
    <row r="271" spans="1:8">
      <c r="A271" s="223"/>
      <c r="B271" s="223"/>
      <c r="C271" s="223"/>
      <c r="D271" s="223"/>
      <c r="E271" s="223"/>
      <c r="F271" s="223"/>
      <c r="G271" s="223"/>
      <c r="H271" s="223"/>
    </row>
    <row r="272" spans="1:8">
      <c r="A272" s="223"/>
      <c r="B272" s="223"/>
      <c r="C272" s="223"/>
      <c r="D272" s="223"/>
      <c r="E272" s="223"/>
      <c r="F272" s="223"/>
      <c r="G272" s="223"/>
      <c r="H272" s="223"/>
    </row>
    <row r="273" spans="1:8">
      <c r="A273" s="223"/>
      <c r="B273" s="223"/>
      <c r="C273" s="223"/>
      <c r="D273" s="223"/>
      <c r="E273" s="223"/>
      <c r="F273" s="223"/>
      <c r="G273" s="223"/>
      <c r="H273" s="223"/>
    </row>
    <row r="274" spans="1:8">
      <c r="A274" s="223"/>
      <c r="B274" s="223"/>
      <c r="C274" s="223"/>
      <c r="D274" s="223"/>
      <c r="E274" s="223"/>
      <c r="F274" s="223"/>
      <c r="G274" s="223"/>
      <c r="H274" s="223"/>
    </row>
    <row r="275" spans="1:8">
      <c r="A275" s="223"/>
      <c r="B275" s="223"/>
      <c r="C275" s="223"/>
      <c r="D275" s="223"/>
      <c r="E275" s="223"/>
      <c r="F275" s="223"/>
      <c r="G275" s="223"/>
      <c r="H275" s="223"/>
    </row>
    <row r="276" spans="1:8">
      <c r="A276" s="223"/>
      <c r="B276" s="223"/>
      <c r="C276" s="223"/>
      <c r="D276" s="223"/>
      <c r="E276" s="223"/>
      <c r="F276" s="223"/>
      <c r="G276" s="223"/>
      <c r="H276" s="223"/>
    </row>
    <row r="277" spans="1:8">
      <c r="A277" s="223"/>
      <c r="B277" s="223"/>
      <c r="C277" s="223"/>
      <c r="D277" s="223"/>
      <c r="E277" s="223"/>
      <c r="F277" s="223"/>
      <c r="G277" s="223"/>
      <c r="H277" s="223"/>
    </row>
    <row r="278" spans="1:8">
      <c r="A278" s="223"/>
      <c r="B278" s="223"/>
      <c r="C278" s="223"/>
      <c r="D278" s="223"/>
      <c r="E278" s="223"/>
      <c r="F278" s="223"/>
      <c r="G278" s="223"/>
      <c r="H278" s="223"/>
    </row>
    <row r="279" spans="1:8">
      <c r="A279" s="223"/>
      <c r="B279" s="223"/>
      <c r="C279" s="223"/>
      <c r="D279" s="223"/>
      <c r="E279" s="223"/>
      <c r="F279" s="223"/>
      <c r="G279" s="223"/>
      <c r="H279" s="223"/>
    </row>
    <row r="280" spans="1:8">
      <c r="A280" s="223"/>
      <c r="B280" s="223"/>
      <c r="C280" s="223"/>
      <c r="D280" s="223"/>
      <c r="E280" s="223"/>
      <c r="F280" s="223"/>
      <c r="G280" s="223"/>
      <c r="H280" s="223"/>
    </row>
    <row r="281" spans="1:8">
      <c r="A281" s="223"/>
      <c r="B281" s="223"/>
      <c r="C281" s="223"/>
      <c r="D281" s="223"/>
      <c r="E281" s="223"/>
      <c r="F281" s="223"/>
      <c r="G281" s="223"/>
      <c r="H281" s="223"/>
    </row>
    <row r="282" spans="1:8">
      <c r="A282" s="223"/>
      <c r="B282" s="223"/>
      <c r="C282" s="223"/>
      <c r="D282" s="223"/>
      <c r="E282" s="223"/>
      <c r="F282" s="223"/>
      <c r="G282" s="223"/>
      <c r="H282" s="223"/>
    </row>
    <row r="283" spans="1:8">
      <c r="A283" s="223"/>
      <c r="B283" s="223"/>
      <c r="C283" s="223"/>
      <c r="D283" s="223"/>
      <c r="E283" s="223"/>
      <c r="F283" s="223"/>
      <c r="G283" s="223"/>
      <c r="H283" s="223"/>
    </row>
    <row r="284" spans="1:8">
      <c r="A284" s="223"/>
      <c r="B284" s="223"/>
      <c r="C284" s="223"/>
      <c r="D284" s="223"/>
      <c r="E284" s="223"/>
      <c r="F284" s="223"/>
      <c r="G284" s="223"/>
      <c r="H284" s="223"/>
    </row>
    <row r="285" spans="1:8">
      <c r="A285" s="223"/>
      <c r="B285" s="223"/>
      <c r="C285" s="223"/>
      <c r="D285" s="223"/>
      <c r="E285" s="223"/>
      <c r="F285" s="223"/>
      <c r="G285" s="223"/>
      <c r="H285" s="223"/>
    </row>
    <row r="286" spans="1:8">
      <c r="A286" s="223"/>
      <c r="B286" s="223"/>
      <c r="C286" s="223"/>
      <c r="D286" s="223"/>
      <c r="E286" s="223"/>
      <c r="F286" s="223"/>
      <c r="G286" s="223"/>
      <c r="H286" s="223"/>
    </row>
    <row r="287" spans="1:8">
      <c r="A287" s="223"/>
      <c r="B287" s="223"/>
      <c r="C287" s="223"/>
      <c r="D287" s="223"/>
      <c r="E287" s="223"/>
      <c r="F287" s="223"/>
      <c r="G287" s="223"/>
      <c r="H287" s="223"/>
    </row>
    <row r="288" spans="1:8">
      <c r="A288" s="223"/>
      <c r="B288" s="223"/>
      <c r="C288" s="223"/>
      <c r="D288" s="223"/>
      <c r="E288" s="223"/>
      <c r="F288" s="223"/>
      <c r="G288" s="223"/>
      <c r="H288" s="223"/>
    </row>
    <row r="289" spans="1:8">
      <c r="A289" s="223"/>
      <c r="B289" s="223"/>
      <c r="C289" s="223"/>
      <c r="D289" s="223"/>
      <c r="E289" s="223"/>
      <c r="F289" s="223"/>
      <c r="G289" s="223"/>
      <c r="H289" s="223"/>
    </row>
    <row r="290" spans="1:8">
      <c r="A290" s="223"/>
      <c r="B290" s="223"/>
      <c r="C290" s="223"/>
      <c r="D290" s="223"/>
      <c r="E290" s="223"/>
      <c r="F290" s="223"/>
      <c r="G290" s="223"/>
      <c r="H290" s="223"/>
    </row>
    <row r="291" spans="1:8">
      <c r="A291" s="223"/>
      <c r="B291" s="223"/>
      <c r="C291" s="223"/>
      <c r="D291" s="223"/>
      <c r="E291" s="223"/>
      <c r="F291" s="223"/>
      <c r="G291" s="223"/>
      <c r="H291" s="223"/>
    </row>
    <row r="292" spans="1:8">
      <c r="A292" s="223"/>
      <c r="B292" s="223"/>
      <c r="C292" s="223"/>
      <c r="D292" s="223"/>
      <c r="E292" s="223"/>
      <c r="F292" s="223"/>
      <c r="G292" s="223"/>
      <c r="H292" s="223"/>
    </row>
    <row r="293" spans="1:8">
      <c r="A293" s="223"/>
      <c r="B293" s="223"/>
      <c r="C293" s="223"/>
      <c r="D293" s="223"/>
      <c r="E293" s="223"/>
      <c r="F293" s="223"/>
      <c r="G293" s="223"/>
      <c r="H293" s="223"/>
    </row>
    <row r="294" spans="1:8">
      <c r="A294" s="223"/>
      <c r="B294" s="223"/>
      <c r="C294" s="223"/>
      <c r="D294" s="223"/>
      <c r="E294" s="223"/>
      <c r="F294" s="223"/>
      <c r="G294" s="223"/>
      <c r="H294" s="223"/>
    </row>
    <row r="295" spans="1:8">
      <c r="A295" s="223"/>
      <c r="B295" s="223"/>
      <c r="C295" s="223"/>
      <c r="D295" s="223"/>
      <c r="E295" s="223"/>
      <c r="F295" s="223"/>
      <c r="G295" s="223"/>
      <c r="H295" s="223"/>
    </row>
    <row r="296" spans="1:8">
      <c r="A296" s="223"/>
      <c r="B296" s="223"/>
      <c r="C296" s="223"/>
      <c r="D296" s="223"/>
      <c r="E296" s="223"/>
      <c r="F296" s="223"/>
      <c r="G296" s="223"/>
      <c r="H296" s="223"/>
    </row>
    <row r="297" spans="1:8">
      <c r="A297" s="223"/>
      <c r="B297" s="223"/>
      <c r="C297" s="223"/>
      <c r="D297" s="223"/>
      <c r="E297" s="223"/>
      <c r="F297" s="223"/>
      <c r="G297" s="223"/>
      <c r="H297" s="223"/>
    </row>
    <row r="298" spans="1:8">
      <c r="A298" s="223"/>
      <c r="B298" s="223"/>
      <c r="C298" s="223"/>
      <c r="D298" s="223"/>
      <c r="E298" s="223"/>
      <c r="F298" s="223"/>
      <c r="G298" s="223"/>
      <c r="H298" s="223"/>
    </row>
    <row r="299" spans="1:8">
      <c r="A299" s="223"/>
      <c r="B299" s="223"/>
      <c r="C299" s="223"/>
      <c r="D299" s="223"/>
      <c r="E299" s="223"/>
      <c r="F299" s="223"/>
      <c r="G299" s="223"/>
      <c r="H299" s="223"/>
    </row>
    <row r="300" spans="1:8">
      <c r="A300" s="223"/>
      <c r="B300" s="223"/>
      <c r="C300" s="223"/>
      <c r="D300" s="223"/>
      <c r="E300" s="223"/>
      <c r="F300" s="223"/>
      <c r="G300" s="223"/>
      <c r="H300" s="223"/>
    </row>
    <row r="301" spans="1:8">
      <c r="A301" s="223"/>
      <c r="B301" s="223"/>
      <c r="C301" s="223"/>
      <c r="D301" s="223"/>
      <c r="E301" s="223"/>
      <c r="F301" s="223"/>
      <c r="G301" s="223"/>
      <c r="H301" s="223"/>
    </row>
    <row r="302" spans="1:8">
      <c r="A302" s="223"/>
      <c r="B302" s="223"/>
      <c r="C302" s="223"/>
      <c r="D302" s="223"/>
      <c r="E302" s="223"/>
      <c r="F302" s="223"/>
      <c r="G302" s="223"/>
      <c r="H302" s="223"/>
    </row>
    <row r="303" spans="1:8">
      <c r="A303" s="223"/>
      <c r="B303" s="223"/>
      <c r="C303" s="223"/>
      <c r="D303" s="223"/>
      <c r="E303" s="223"/>
      <c r="F303" s="223"/>
      <c r="G303" s="223"/>
      <c r="H303" s="223"/>
    </row>
    <row r="304" spans="1:8">
      <c r="A304" s="223"/>
      <c r="B304" s="223"/>
      <c r="C304" s="223"/>
      <c r="D304" s="223"/>
      <c r="E304" s="223"/>
      <c r="F304" s="223"/>
      <c r="G304" s="223"/>
      <c r="H304" s="223"/>
    </row>
    <row r="305" spans="1:8">
      <c r="A305" s="223"/>
      <c r="B305" s="223"/>
      <c r="C305" s="223"/>
      <c r="D305" s="223"/>
      <c r="E305" s="223"/>
      <c r="F305" s="223"/>
      <c r="G305" s="223"/>
      <c r="H305" s="223"/>
    </row>
    <row r="306" spans="1:8">
      <c r="A306" s="223"/>
      <c r="B306" s="223"/>
      <c r="C306" s="223"/>
      <c r="D306" s="223"/>
      <c r="E306" s="223"/>
      <c r="F306" s="223"/>
      <c r="G306" s="223"/>
      <c r="H306" s="223"/>
    </row>
    <row r="307" spans="1:8">
      <c r="A307" s="223"/>
      <c r="B307" s="223"/>
      <c r="C307" s="223"/>
      <c r="D307" s="223"/>
      <c r="E307" s="223"/>
      <c r="F307" s="223"/>
      <c r="G307" s="223"/>
      <c r="H307" s="223"/>
    </row>
    <row r="308" spans="1:8">
      <c r="A308" s="223"/>
      <c r="B308" s="223"/>
      <c r="C308" s="223"/>
      <c r="D308" s="223"/>
      <c r="E308" s="223"/>
      <c r="F308" s="223"/>
      <c r="G308" s="223"/>
      <c r="H308" s="223"/>
    </row>
    <row r="309" spans="1:8">
      <c r="A309" s="223"/>
      <c r="B309" s="223"/>
      <c r="C309" s="223"/>
      <c r="D309" s="223"/>
      <c r="E309" s="223"/>
      <c r="F309" s="223"/>
      <c r="G309" s="223"/>
      <c r="H309" s="223"/>
    </row>
    <row r="310" spans="1:8">
      <c r="A310" s="223"/>
      <c r="B310" s="223"/>
      <c r="C310" s="223"/>
      <c r="D310" s="223"/>
      <c r="E310" s="223"/>
      <c r="F310" s="223"/>
      <c r="G310" s="223"/>
      <c r="H310" s="223"/>
    </row>
    <row r="311" spans="1:8">
      <c r="A311" s="223"/>
      <c r="B311" s="223"/>
      <c r="C311" s="223"/>
      <c r="D311" s="223"/>
      <c r="E311" s="223"/>
      <c r="F311" s="223"/>
      <c r="G311" s="223"/>
      <c r="H311" s="223"/>
    </row>
    <row r="312" spans="1:8">
      <c r="A312" s="223"/>
      <c r="B312" s="223"/>
      <c r="C312" s="223"/>
      <c r="D312" s="223"/>
      <c r="E312" s="223"/>
      <c r="F312" s="223"/>
      <c r="G312" s="223"/>
      <c r="H312" s="223"/>
    </row>
    <row r="313" spans="1:8">
      <c r="A313" s="223"/>
      <c r="B313" s="223"/>
      <c r="C313" s="223"/>
      <c r="D313" s="223"/>
      <c r="E313" s="223"/>
      <c r="F313" s="223"/>
      <c r="G313" s="223"/>
      <c r="H313" s="223"/>
    </row>
    <row r="314" spans="1:8">
      <c r="A314" s="223"/>
      <c r="B314" s="223"/>
      <c r="C314" s="223"/>
      <c r="D314" s="223"/>
      <c r="E314" s="223"/>
      <c r="F314" s="223"/>
      <c r="G314" s="223"/>
      <c r="H314" s="223"/>
    </row>
    <row r="315" spans="1:8">
      <c r="A315" s="223"/>
      <c r="B315" s="223"/>
      <c r="C315" s="223"/>
      <c r="D315" s="223"/>
      <c r="E315" s="223"/>
      <c r="F315" s="223"/>
      <c r="G315" s="223"/>
      <c r="H315" s="223"/>
    </row>
    <row r="316" spans="1:8">
      <c r="A316" s="223"/>
      <c r="B316" s="223"/>
      <c r="C316" s="223"/>
      <c r="D316" s="223"/>
      <c r="E316" s="223"/>
      <c r="F316" s="223"/>
      <c r="G316" s="223"/>
      <c r="H316" s="223"/>
    </row>
    <row r="317" spans="1:8">
      <c r="A317" s="223"/>
      <c r="B317" s="223"/>
      <c r="C317" s="223"/>
      <c r="D317" s="223"/>
      <c r="E317" s="223"/>
      <c r="F317" s="223"/>
      <c r="G317" s="223"/>
      <c r="H317" s="223"/>
    </row>
    <row r="318" spans="1:8">
      <c r="A318" s="223"/>
      <c r="B318" s="223"/>
      <c r="C318" s="223"/>
      <c r="D318" s="223"/>
      <c r="E318" s="223"/>
      <c r="F318" s="223"/>
      <c r="G318" s="223"/>
      <c r="H318" s="223"/>
    </row>
    <row r="319" spans="1:8">
      <c r="A319" s="223"/>
      <c r="B319" s="223"/>
      <c r="C319" s="223"/>
      <c r="D319" s="223"/>
      <c r="E319" s="223"/>
      <c r="F319" s="223"/>
      <c r="G319" s="223"/>
      <c r="H319" s="223"/>
    </row>
    <row r="320" spans="1:8">
      <c r="A320" s="223"/>
      <c r="B320" s="223"/>
      <c r="C320" s="223"/>
      <c r="D320" s="223"/>
      <c r="E320" s="223"/>
      <c r="F320" s="223"/>
      <c r="G320" s="223"/>
      <c r="H320" s="223"/>
    </row>
    <row r="321" spans="1:8">
      <c r="A321" s="223"/>
      <c r="B321" s="223"/>
      <c r="C321" s="223"/>
      <c r="D321" s="223"/>
      <c r="E321" s="223"/>
      <c r="F321" s="223"/>
      <c r="G321" s="223"/>
      <c r="H321" s="223"/>
    </row>
    <row r="322" spans="1:8">
      <c r="A322" s="223"/>
      <c r="B322" s="223"/>
      <c r="C322" s="223"/>
      <c r="D322" s="223"/>
      <c r="E322" s="223"/>
      <c r="F322" s="223"/>
      <c r="G322" s="223"/>
      <c r="H322" s="223"/>
    </row>
    <row r="323" spans="1:8">
      <c r="A323" s="223"/>
      <c r="B323" s="223"/>
      <c r="C323" s="223"/>
      <c r="D323" s="223"/>
      <c r="E323" s="223"/>
      <c r="F323" s="223"/>
      <c r="G323" s="223"/>
      <c r="H323" s="223"/>
    </row>
    <row r="324" spans="1:8">
      <c r="A324" s="223"/>
      <c r="B324" s="223"/>
      <c r="C324" s="223"/>
      <c r="D324" s="223"/>
      <c r="E324" s="223"/>
      <c r="F324" s="223"/>
      <c r="G324" s="223"/>
      <c r="H324" s="223"/>
    </row>
    <row r="325" spans="1:8">
      <c r="A325" s="223"/>
      <c r="B325" s="223"/>
      <c r="C325" s="223"/>
      <c r="D325" s="223"/>
      <c r="E325" s="223"/>
      <c r="F325" s="223"/>
      <c r="G325" s="223"/>
      <c r="H325" s="223"/>
    </row>
    <row r="326" spans="1:8">
      <c r="A326" s="223"/>
      <c r="B326" s="223"/>
      <c r="C326" s="223"/>
      <c r="D326" s="223"/>
      <c r="E326" s="223"/>
      <c r="F326" s="223"/>
      <c r="G326" s="223"/>
      <c r="H326" s="223"/>
    </row>
    <row r="327" spans="1:8">
      <c r="A327" s="223"/>
      <c r="B327" s="223"/>
      <c r="C327" s="223"/>
      <c r="D327" s="223"/>
      <c r="E327" s="223"/>
      <c r="F327" s="223"/>
      <c r="G327" s="223"/>
      <c r="H327" s="223"/>
    </row>
    <row r="328" spans="1:8">
      <c r="A328" s="223"/>
      <c r="B328" s="223"/>
      <c r="C328" s="223"/>
      <c r="D328" s="223"/>
      <c r="E328" s="223"/>
      <c r="F328" s="223"/>
      <c r="G328" s="223"/>
      <c r="H328" s="223"/>
    </row>
    <row r="329" spans="1:8">
      <c r="A329" s="223"/>
      <c r="B329" s="223"/>
      <c r="C329" s="223"/>
      <c r="D329" s="223"/>
      <c r="E329" s="223"/>
      <c r="F329" s="223"/>
      <c r="G329" s="223"/>
      <c r="H329" s="223"/>
    </row>
    <row r="330" spans="1:8">
      <c r="A330" s="223"/>
      <c r="B330" s="223"/>
      <c r="C330" s="223"/>
      <c r="D330" s="223"/>
      <c r="E330" s="223"/>
      <c r="F330" s="223"/>
      <c r="G330" s="223"/>
      <c r="H330" s="223"/>
    </row>
    <row r="331" spans="1:8">
      <c r="A331" s="223"/>
      <c r="B331" s="223"/>
      <c r="C331" s="223"/>
      <c r="D331" s="223"/>
      <c r="E331" s="223"/>
      <c r="F331" s="223"/>
      <c r="G331" s="223"/>
      <c r="H331" s="223"/>
    </row>
    <row r="332" spans="1:8">
      <c r="A332" s="223"/>
      <c r="B332" s="223"/>
      <c r="C332" s="223"/>
      <c r="D332" s="223"/>
      <c r="E332" s="223"/>
      <c r="F332" s="223"/>
      <c r="G332" s="223"/>
      <c r="H332" s="223"/>
    </row>
    <row r="333" spans="1:8">
      <c r="A333" s="223"/>
      <c r="B333" s="223"/>
      <c r="C333" s="223"/>
      <c r="D333" s="223"/>
      <c r="E333" s="223"/>
      <c r="F333" s="223"/>
      <c r="G333" s="223"/>
      <c r="H333" s="223"/>
    </row>
    <row r="334" spans="1:8">
      <c r="A334" s="223"/>
      <c r="B334" s="223"/>
      <c r="C334" s="223"/>
      <c r="D334" s="223"/>
      <c r="E334" s="223"/>
      <c r="F334" s="223"/>
      <c r="G334" s="223"/>
      <c r="H334" s="223"/>
    </row>
    <row r="335" spans="1:8">
      <c r="A335" s="223"/>
      <c r="B335" s="223"/>
      <c r="C335" s="223"/>
      <c r="D335" s="223"/>
      <c r="E335" s="223"/>
      <c r="F335" s="223"/>
      <c r="G335" s="223"/>
      <c r="H335" s="223"/>
    </row>
    <row r="336" spans="1:8">
      <c r="A336" s="223"/>
      <c r="B336" s="223"/>
      <c r="C336" s="223"/>
      <c r="D336" s="223"/>
      <c r="E336" s="223"/>
      <c r="F336" s="223"/>
      <c r="G336" s="223"/>
      <c r="H336" s="223"/>
    </row>
    <row r="337" spans="1:8">
      <c r="A337" s="223"/>
      <c r="B337" s="223"/>
      <c r="C337" s="223"/>
      <c r="D337" s="223"/>
      <c r="E337" s="223"/>
      <c r="F337" s="223"/>
      <c r="G337" s="223"/>
      <c r="H337" s="223"/>
    </row>
    <row r="338" spans="1:8">
      <c r="A338" s="223"/>
      <c r="B338" s="223"/>
      <c r="C338" s="223"/>
      <c r="D338" s="223"/>
      <c r="E338" s="223"/>
      <c r="F338" s="223"/>
      <c r="G338" s="223"/>
      <c r="H338" s="223"/>
    </row>
    <row r="339" spans="1:8">
      <c r="A339" s="223"/>
      <c r="B339" s="223"/>
      <c r="C339" s="223"/>
      <c r="D339" s="223"/>
      <c r="E339" s="223"/>
      <c r="F339" s="223"/>
      <c r="G339" s="223"/>
      <c r="H339" s="223"/>
    </row>
    <row r="340" spans="1:8">
      <c r="A340" s="223"/>
      <c r="B340" s="223"/>
      <c r="C340" s="223"/>
      <c r="D340" s="223"/>
      <c r="E340" s="223"/>
      <c r="F340" s="223"/>
      <c r="G340" s="223"/>
      <c r="H340" s="223"/>
    </row>
    <row r="341" spans="1:8">
      <c r="A341" s="223"/>
      <c r="B341" s="223"/>
      <c r="C341" s="223"/>
      <c r="D341" s="223"/>
      <c r="E341" s="223"/>
      <c r="F341" s="223"/>
      <c r="G341" s="223"/>
      <c r="H341" s="223"/>
    </row>
    <row r="342" spans="1:8">
      <c r="A342" s="223"/>
      <c r="B342" s="223"/>
      <c r="C342" s="223"/>
      <c r="D342" s="223"/>
      <c r="E342" s="223"/>
      <c r="F342" s="223"/>
      <c r="G342" s="223"/>
      <c r="H342" s="223"/>
    </row>
    <row r="343" spans="1:8">
      <c r="A343" s="223"/>
      <c r="B343" s="223"/>
      <c r="C343" s="223"/>
      <c r="D343" s="223"/>
      <c r="E343" s="223"/>
      <c r="F343" s="223"/>
      <c r="G343" s="223"/>
      <c r="H343" s="223"/>
    </row>
    <row r="344" spans="1:8">
      <c r="A344" s="223"/>
      <c r="B344" s="223"/>
      <c r="C344" s="223"/>
      <c r="D344" s="223"/>
      <c r="E344" s="223"/>
      <c r="F344" s="223"/>
      <c r="G344" s="223"/>
      <c r="H344" s="223"/>
    </row>
    <row r="345" spans="1:8">
      <c r="A345" s="223"/>
      <c r="B345" s="223"/>
      <c r="C345" s="223"/>
      <c r="D345" s="223"/>
      <c r="E345" s="223"/>
      <c r="F345" s="223"/>
      <c r="G345" s="223"/>
      <c r="H345" s="223"/>
    </row>
    <row r="346" spans="1:8">
      <c r="A346" s="223"/>
      <c r="B346" s="223"/>
      <c r="C346" s="223"/>
      <c r="D346" s="223"/>
      <c r="E346" s="223"/>
      <c r="F346" s="223"/>
      <c r="G346" s="223"/>
      <c r="H346" s="223"/>
    </row>
    <row r="347" spans="1:8">
      <c r="A347" s="223"/>
      <c r="B347" s="223"/>
      <c r="C347" s="223"/>
      <c r="D347" s="223"/>
      <c r="E347" s="223"/>
      <c r="F347" s="223"/>
      <c r="G347" s="223"/>
      <c r="H347" s="223"/>
    </row>
    <row r="348" spans="1:8">
      <c r="A348" s="223"/>
      <c r="B348" s="223"/>
      <c r="C348" s="223"/>
      <c r="D348" s="223"/>
      <c r="E348" s="223"/>
      <c r="F348" s="223"/>
      <c r="G348" s="223"/>
      <c r="H348" s="223"/>
    </row>
    <row r="349" spans="1:8">
      <c r="A349" s="223"/>
      <c r="B349" s="223"/>
      <c r="C349" s="223"/>
      <c r="D349" s="223"/>
      <c r="E349" s="223"/>
      <c r="F349" s="223"/>
      <c r="G349" s="223"/>
      <c r="H349" s="223"/>
    </row>
    <row r="350" spans="1:8">
      <c r="A350" s="223"/>
      <c r="B350" s="223"/>
      <c r="C350" s="223"/>
      <c r="D350" s="223"/>
      <c r="E350" s="223"/>
      <c r="F350" s="223"/>
      <c r="G350" s="223"/>
      <c r="H350" s="223"/>
    </row>
    <row r="351" spans="1:8">
      <c r="A351" s="223"/>
      <c r="B351" s="223"/>
      <c r="C351" s="223"/>
      <c r="D351" s="223"/>
      <c r="E351" s="223"/>
      <c r="F351" s="223"/>
      <c r="G351" s="223"/>
      <c r="H351" s="223"/>
    </row>
    <row r="352" spans="1:8">
      <c r="A352" s="223"/>
      <c r="B352" s="223"/>
      <c r="C352" s="223"/>
      <c r="D352" s="223"/>
      <c r="E352" s="223"/>
      <c r="F352" s="223"/>
      <c r="G352" s="223"/>
      <c r="H352" s="223"/>
    </row>
    <row r="353" spans="1:8">
      <c r="A353" s="223"/>
      <c r="B353" s="223"/>
      <c r="C353" s="223"/>
      <c r="D353" s="223"/>
      <c r="E353" s="223"/>
      <c r="F353" s="223"/>
      <c r="G353" s="223"/>
      <c r="H353" s="223"/>
    </row>
    <row r="354" spans="1:8">
      <c r="A354" s="223"/>
      <c r="B354" s="223"/>
      <c r="C354" s="223"/>
      <c r="D354" s="223"/>
      <c r="E354" s="223"/>
      <c r="F354" s="223"/>
      <c r="G354" s="223"/>
      <c r="H354" s="223"/>
    </row>
    <row r="355" spans="1:8">
      <c r="A355" s="223"/>
      <c r="B355" s="223"/>
      <c r="C355" s="223"/>
      <c r="D355" s="223"/>
      <c r="E355" s="223"/>
      <c r="F355" s="223"/>
      <c r="G355" s="223"/>
      <c r="H355" s="223"/>
    </row>
    <row r="356" spans="1:8">
      <c r="A356" s="223"/>
      <c r="B356" s="223"/>
      <c r="C356" s="223"/>
      <c r="D356" s="223"/>
      <c r="E356" s="223"/>
      <c r="F356" s="223"/>
      <c r="G356" s="223"/>
      <c r="H356" s="223"/>
    </row>
    <row r="357" spans="1:8">
      <c r="A357" s="223"/>
      <c r="B357" s="223"/>
      <c r="C357" s="223"/>
      <c r="D357" s="223"/>
      <c r="E357" s="223"/>
      <c r="F357" s="223"/>
      <c r="G357" s="223"/>
      <c r="H357" s="223"/>
    </row>
    <row r="358" spans="1:8">
      <c r="A358" s="223"/>
      <c r="B358" s="223"/>
      <c r="C358" s="223"/>
      <c r="D358" s="223"/>
      <c r="E358" s="223"/>
      <c r="F358" s="223"/>
      <c r="G358" s="223"/>
      <c r="H358" s="223"/>
    </row>
    <row r="359" spans="1:8">
      <c r="A359" s="223"/>
      <c r="B359" s="223"/>
      <c r="C359" s="223"/>
      <c r="D359" s="223"/>
      <c r="E359" s="223"/>
      <c r="F359" s="223"/>
      <c r="G359" s="223"/>
      <c r="H359" s="223"/>
    </row>
    <row r="360" spans="1:8">
      <c r="A360" s="223"/>
      <c r="B360" s="223"/>
      <c r="C360" s="223"/>
      <c r="D360" s="223"/>
      <c r="E360" s="223"/>
      <c r="F360" s="223"/>
      <c r="G360" s="223"/>
      <c r="H360" s="223"/>
    </row>
    <row r="361" spans="1:8">
      <c r="A361" s="223"/>
      <c r="B361" s="223"/>
      <c r="C361" s="223"/>
      <c r="D361" s="223"/>
      <c r="E361" s="223"/>
      <c r="F361" s="223"/>
      <c r="G361" s="223"/>
      <c r="H361" s="223"/>
    </row>
    <row r="362" spans="1:8">
      <c r="A362" s="223"/>
      <c r="B362" s="223"/>
      <c r="C362" s="223"/>
      <c r="D362" s="223"/>
      <c r="E362" s="223"/>
      <c r="F362" s="223"/>
      <c r="G362" s="223"/>
      <c r="H362" s="223"/>
    </row>
    <row r="363" spans="1:8">
      <c r="A363" s="223"/>
      <c r="B363" s="223"/>
      <c r="C363" s="223"/>
      <c r="D363" s="223"/>
      <c r="E363" s="223"/>
      <c r="F363" s="223"/>
      <c r="G363" s="223"/>
      <c r="H363" s="223"/>
    </row>
    <row r="364" spans="1:8">
      <c r="A364" s="223"/>
      <c r="B364" s="223"/>
      <c r="C364" s="223"/>
      <c r="D364" s="223"/>
      <c r="E364" s="223"/>
      <c r="F364" s="223"/>
      <c r="G364" s="223"/>
      <c r="H364" s="223"/>
    </row>
    <row r="365" spans="1:8">
      <c r="A365" s="223"/>
      <c r="B365" s="223"/>
      <c r="C365" s="223"/>
      <c r="D365" s="223"/>
      <c r="E365" s="223"/>
      <c r="F365" s="223"/>
      <c r="G365" s="223"/>
      <c r="H365" s="223"/>
    </row>
    <row r="366" spans="1:8">
      <c r="A366" s="223"/>
      <c r="B366" s="223"/>
      <c r="C366" s="223"/>
      <c r="D366" s="223"/>
      <c r="E366" s="223"/>
      <c r="F366" s="223"/>
      <c r="G366" s="223"/>
      <c r="H366" s="223"/>
    </row>
    <row r="367" spans="1:8">
      <c r="A367" s="223"/>
      <c r="B367" s="223"/>
      <c r="C367" s="223"/>
      <c r="D367" s="223"/>
      <c r="E367" s="223"/>
      <c r="F367" s="223"/>
      <c r="G367" s="223"/>
      <c r="H367" s="223"/>
    </row>
    <row r="368" spans="1:8">
      <c r="A368" s="223"/>
      <c r="B368" s="223"/>
      <c r="C368" s="223"/>
      <c r="D368" s="223"/>
      <c r="E368" s="223"/>
      <c r="F368" s="223"/>
      <c r="G368" s="223"/>
      <c r="H368" s="223"/>
    </row>
    <row r="369" spans="1:8">
      <c r="A369" s="223"/>
      <c r="B369" s="223"/>
      <c r="C369" s="223"/>
      <c r="D369" s="223"/>
      <c r="E369" s="223"/>
      <c r="F369" s="223"/>
      <c r="G369" s="223"/>
      <c r="H369" s="223"/>
    </row>
    <row r="370" spans="1:8">
      <c r="A370" s="223"/>
      <c r="B370" s="223"/>
      <c r="C370" s="223"/>
      <c r="D370" s="223"/>
      <c r="E370" s="223"/>
      <c r="F370" s="223"/>
      <c r="G370" s="223"/>
      <c r="H370" s="223"/>
    </row>
    <row r="371" spans="1:8">
      <c r="A371" s="223"/>
      <c r="B371" s="223"/>
      <c r="C371" s="223"/>
      <c r="D371" s="223"/>
      <c r="E371" s="223"/>
      <c r="F371" s="223"/>
      <c r="G371" s="223"/>
      <c r="H371" s="223"/>
    </row>
    <row r="372" spans="1:8">
      <c r="A372" s="223"/>
      <c r="B372" s="223"/>
      <c r="C372" s="223"/>
      <c r="D372" s="223"/>
      <c r="E372" s="223"/>
      <c r="F372" s="223"/>
      <c r="G372" s="223"/>
      <c r="H372" s="223"/>
    </row>
    <row r="373" spans="1:8">
      <c r="A373" s="223"/>
      <c r="B373" s="223"/>
      <c r="C373" s="223"/>
      <c r="D373" s="223"/>
      <c r="E373" s="223"/>
      <c r="F373" s="223"/>
      <c r="G373" s="223"/>
      <c r="H373" s="223"/>
    </row>
    <row r="374" spans="1:8">
      <c r="A374" s="223"/>
      <c r="B374" s="223"/>
      <c r="C374" s="223"/>
      <c r="D374" s="223"/>
      <c r="E374" s="223"/>
      <c r="F374" s="223"/>
      <c r="G374" s="223"/>
      <c r="H374" s="223"/>
    </row>
    <row r="375" spans="1:8">
      <c r="A375" s="223"/>
      <c r="B375" s="223"/>
      <c r="C375" s="223"/>
      <c r="D375" s="223"/>
      <c r="E375" s="223"/>
      <c r="F375" s="223"/>
      <c r="G375" s="223"/>
      <c r="H375" s="223"/>
    </row>
    <row r="376" spans="1:8">
      <c r="A376" s="223"/>
      <c r="B376" s="223"/>
      <c r="C376" s="223"/>
      <c r="D376" s="223"/>
      <c r="E376" s="223"/>
      <c r="F376" s="223"/>
      <c r="G376" s="223"/>
      <c r="H376" s="223"/>
    </row>
    <row r="377" spans="1:8">
      <c r="A377" s="223"/>
      <c r="B377" s="223"/>
      <c r="C377" s="223"/>
      <c r="D377" s="223"/>
      <c r="E377" s="223"/>
      <c r="F377" s="223"/>
      <c r="G377" s="223"/>
      <c r="H377" s="223"/>
    </row>
    <row r="378" spans="1:8">
      <c r="A378" s="223"/>
      <c r="B378" s="223"/>
      <c r="C378" s="223"/>
      <c r="D378" s="223"/>
      <c r="E378" s="223"/>
      <c r="F378" s="223"/>
      <c r="G378" s="223"/>
      <c r="H378" s="223"/>
    </row>
    <row r="379" spans="1:8">
      <c r="A379" s="223"/>
      <c r="B379" s="223"/>
      <c r="C379" s="223"/>
      <c r="D379" s="223"/>
      <c r="E379" s="223"/>
      <c r="F379" s="223"/>
      <c r="G379" s="223"/>
      <c r="H379" s="223"/>
    </row>
    <row r="380" spans="1:8">
      <c r="A380" s="223"/>
      <c r="B380" s="223"/>
      <c r="C380" s="223"/>
      <c r="D380" s="223"/>
      <c r="E380" s="223"/>
      <c r="F380" s="223"/>
      <c r="G380" s="223"/>
      <c r="H380" s="223"/>
    </row>
    <row r="381" spans="1:8">
      <c r="A381" s="223"/>
      <c r="B381" s="223"/>
      <c r="C381" s="223"/>
      <c r="D381" s="223"/>
      <c r="E381" s="223"/>
      <c r="F381" s="223"/>
      <c r="G381" s="223"/>
      <c r="H381" s="223"/>
    </row>
    <row r="382" spans="1:8">
      <c r="A382" s="223"/>
      <c r="B382" s="223"/>
      <c r="C382" s="223"/>
      <c r="D382" s="223"/>
      <c r="E382" s="223"/>
      <c r="F382" s="223"/>
      <c r="G382" s="223"/>
      <c r="H382" s="223"/>
    </row>
    <row r="383" spans="1:8">
      <c r="A383" s="223"/>
      <c r="B383" s="223"/>
      <c r="C383" s="223"/>
      <c r="D383" s="223"/>
      <c r="E383" s="223"/>
      <c r="F383" s="223"/>
      <c r="G383" s="223"/>
      <c r="H383" s="223"/>
    </row>
    <row r="384" spans="1:8">
      <c r="A384" s="223"/>
      <c r="B384" s="223"/>
      <c r="C384" s="223"/>
      <c r="D384" s="223"/>
      <c r="E384" s="223"/>
      <c r="F384" s="223"/>
      <c r="G384" s="223"/>
      <c r="H384" s="223"/>
    </row>
    <row r="385" spans="1:8">
      <c r="A385" s="223"/>
      <c r="B385" s="223"/>
      <c r="C385" s="223"/>
      <c r="D385" s="223"/>
      <c r="E385" s="223"/>
      <c r="F385" s="223"/>
      <c r="G385" s="223"/>
      <c r="H385" s="223"/>
    </row>
    <row r="386" spans="1:8">
      <c r="A386" s="223"/>
      <c r="B386" s="223"/>
      <c r="C386" s="223"/>
      <c r="D386" s="223"/>
      <c r="E386" s="223"/>
      <c r="F386" s="223"/>
      <c r="G386" s="223"/>
      <c r="H386" s="223"/>
    </row>
    <row r="387" spans="1:8">
      <c r="A387" s="223"/>
      <c r="B387" s="223"/>
      <c r="C387" s="223"/>
      <c r="D387" s="223"/>
      <c r="E387" s="223"/>
      <c r="F387" s="223"/>
      <c r="G387" s="223"/>
      <c r="H387" s="223"/>
    </row>
    <row r="388" spans="1:8">
      <c r="A388" s="223"/>
      <c r="B388" s="223"/>
      <c r="C388" s="223"/>
      <c r="D388" s="223"/>
      <c r="E388" s="223"/>
      <c r="F388" s="223"/>
      <c r="G388" s="223"/>
      <c r="H388" s="223"/>
    </row>
    <row r="389" spans="1:8">
      <c r="A389" s="223"/>
      <c r="B389" s="223"/>
      <c r="C389" s="223"/>
      <c r="D389" s="223"/>
      <c r="E389" s="223"/>
      <c r="F389" s="223"/>
      <c r="G389" s="223"/>
      <c r="H389" s="223"/>
    </row>
    <row r="390" spans="1:8">
      <c r="A390" s="223"/>
      <c r="B390" s="223"/>
      <c r="C390" s="223"/>
      <c r="D390" s="223"/>
      <c r="E390" s="223"/>
      <c r="F390" s="223"/>
      <c r="G390" s="223"/>
      <c r="H390" s="223"/>
    </row>
    <row r="391" spans="1:8">
      <c r="A391" s="223"/>
      <c r="B391" s="223"/>
      <c r="C391" s="223"/>
      <c r="D391" s="223"/>
      <c r="E391" s="223"/>
      <c r="F391" s="223"/>
      <c r="G391" s="223"/>
      <c r="H391" s="223"/>
    </row>
    <row r="392" spans="1:8">
      <c r="A392" s="223"/>
      <c r="B392" s="223"/>
      <c r="C392" s="223"/>
      <c r="D392" s="223"/>
      <c r="E392" s="223"/>
      <c r="F392" s="223"/>
      <c r="G392" s="223"/>
      <c r="H392" s="223"/>
    </row>
    <row r="393" spans="1:8">
      <c r="A393" s="223"/>
      <c r="B393" s="223"/>
      <c r="C393" s="223"/>
      <c r="D393" s="223"/>
      <c r="E393" s="223"/>
      <c r="F393" s="223"/>
      <c r="G393" s="223"/>
      <c r="H393" s="223"/>
    </row>
    <row r="394" spans="1:8">
      <c r="A394" s="223"/>
      <c r="B394" s="223"/>
      <c r="C394" s="223"/>
      <c r="D394" s="223"/>
      <c r="E394" s="223"/>
      <c r="F394" s="223"/>
      <c r="G394" s="223"/>
      <c r="H394" s="223"/>
    </row>
    <row r="395" spans="1:8">
      <c r="A395" s="223"/>
      <c r="B395" s="223"/>
      <c r="C395" s="223"/>
      <c r="D395" s="223"/>
      <c r="E395" s="223"/>
      <c r="F395" s="223"/>
      <c r="G395" s="223"/>
      <c r="H395" s="223"/>
    </row>
    <row r="396" spans="1:8">
      <c r="A396" s="223"/>
      <c r="B396" s="223"/>
      <c r="C396" s="223"/>
      <c r="D396" s="223"/>
      <c r="E396" s="223"/>
      <c r="F396" s="223"/>
      <c r="G396" s="223"/>
      <c r="H396" s="223"/>
    </row>
    <row r="397" spans="1:8">
      <c r="A397" s="223"/>
      <c r="B397" s="223"/>
      <c r="C397" s="223"/>
      <c r="D397" s="223"/>
      <c r="E397" s="223"/>
      <c r="F397" s="223"/>
      <c r="G397" s="223"/>
      <c r="H397" s="223"/>
    </row>
    <row r="398" spans="1:8">
      <c r="A398" s="223"/>
      <c r="B398" s="223"/>
      <c r="C398" s="223"/>
      <c r="D398" s="223"/>
      <c r="E398" s="223"/>
      <c r="F398" s="223"/>
      <c r="G398" s="223"/>
      <c r="H398" s="223"/>
    </row>
    <row r="399" spans="1:8">
      <c r="A399" s="223"/>
      <c r="B399" s="223"/>
      <c r="C399" s="223"/>
      <c r="D399" s="223"/>
      <c r="E399" s="223"/>
      <c r="F399" s="223"/>
      <c r="G399" s="223"/>
      <c r="H399" s="223"/>
    </row>
    <row r="400" spans="1:8">
      <c r="A400" s="223"/>
      <c r="B400" s="223"/>
      <c r="C400" s="223"/>
      <c r="D400" s="223"/>
      <c r="E400" s="223"/>
      <c r="F400" s="223"/>
      <c r="G400" s="223"/>
      <c r="H400" s="223"/>
    </row>
    <row r="401" spans="1:8">
      <c r="A401" s="223"/>
      <c r="B401" s="223"/>
      <c r="C401" s="223"/>
      <c r="D401" s="223"/>
      <c r="E401" s="223"/>
      <c r="F401" s="223"/>
      <c r="G401" s="223"/>
      <c r="H401" s="223"/>
    </row>
    <row r="402" spans="1:8">
      <c r="A402" s="223"/>
      <c r="B402" s="223"/>
      <c r="C402" s="223"/>
      <c r="D402" s="223"/>
      <c r="E402" s="223"/>
      <c r="F402" s="223"/>
      <c r="G402" s="223"/>
      <c r="H402" s="223"/>
    </row>
    <row r="403" spans="1:8">
      <c r="A403" s="223"/>
      <c r="B403" s="223"/>
      <c r="C403" s="223"/>
      <c r="D403" s="223"/>
      <c r="E403" s="223"/>
      <c r="F403" s="223"/>
      <c r="G403" s="223"/>
      <c r="H403" s="223"/>
    </row>
    <row r="404" spans="1:8">
      <c r="A404" s="223"/>
      <c r="B404" s="223"/>
      <c r="C404" s="223"/>
      <c r="D404" s="223"/>
      <c r="E404" s="223"/>
      <c r="F404" s="223"/>
      <c r="G404" s="223"/>
      <c r="H404" s="223"/>
    </row>
    <row r="405" spans="1:8">
      <c r="A405" s="223"/>
      <c r="B405" s="223"/>
      <c r="C405" s="223"/>
      <c r="D405" s="223"/>
      <c r="E405" s="223"/>
      <c r="F405" s="223"/>
      <c r="G405" s="223"/>
      <c r="H405" s="223"/>
    </row>
    <row r="406" spans="1:8">
      <c r="A406" s="223"/>
      <c r="B406" s="223"/>
      <c r="C406" s="223"/>
      <c r="D406" s="223"/>
      <c r="E406" s="223"/>
      <c r="F406" s="223"/>
      <c r="G406" s="223"/>
      <c r="H406" s="223"/>
    </row>
    <row r="407" spans="1:8">
      <c r="A407" s="223"/>
      <c r="B407" s="223"/>
      <c r="C407" s="223"/>
      <c r="D407" s="223"/>
      <c r="E407" s="223"/>
      <c r="F407" s="223"/>
      <c r="G407" s="223"/>
      <c r="H407" s="223"/>
    </row>
    <row r="408" spans="1:8">
      <c r="A408" s="223"/>
      <c r="B408" s="223"/>
      <c r="C408" s="223"/>
      <c r="D408" s="223"/>
      <c r="E408" s="223"/>
      <c r="F408" s="223"/>
      <c r="G408" s="223"/>
      <c r="H408" s="223"/>
    </row>
    <row r="409" spans="1:8">
      <c r="A409" s="223"/>
      <c r="B409" s="223"/>
      <c r="C409" s="223"/>
      <c r="D409" s="223"/>
      <c r="E409" s="223"/>
      <c r="F409" s="223"/>
      <c r="G409" s="223"/>
      <c r="H409" s="223"/>
    </row>
    <row r="410" spans="1:8">
      <c r="A410" s="223"/>
      <c r="B410" s="223"/>
      <c r="C410" s="223"/>
      <c r="D410" s="223"/>
      <c r="E410" s="223"/>
      <c r="F410" s="223"/>
      <c r="G410" s="223"/>
      <c r="H410" s="223"/>
    </row>
    <row r="411" spans="1:8">
      <c r="A411" s="223"/>
      <c r="B411" s="223"/>
      <c r="C411" s="223"/>
      <c r="D411" s="223"/>
      <c r="E411" s="223"/>
      <c r="F411" s="223"/>
      <c r="G411" s="223"/>
      <c r="H411" s="223"/>
    </row>
    <row r="412" spans="1:8">
      <c r="A412" s="223"/>
      <c r="B412" s="223"/>
      <c r="C412" s="223"/>
      <c r="D412" s="223"/>
      <c r="E412" s="223"/>
      <c r="F412" s="223"/>
      <c r="G412" s="223"/>
      <c r="H412" s="223"/>
    </row>
    <row r="413" spans="1:8">
      <c r="A413" s="223"/>
      <c r="B413" s="223"/>
      <c r="C413" s="223"/>
      <c r="D413" s="223"/>
      <c r="E413" s="223"/>
      <c r="F413" s="223"/>
      <c r="G413" s="223"/>
      <c r="H413" s="223"/>
    </row>
    <row r="414" spans="1:8">
      <c r="A414" s="223"/>
      <c r="B414" s="223"/>
      <c r="C414" s="223"/>
      <c r="D414" s="223"/>
      <c r="E414" s="223"/>
      <c r="F414" s="223"/>
      <c r="G414" s="223"/>
      <c r="H414" s="223"/>
    </row>
    <row r="415" spans="1:8">
      <c r="A415" s="223"/>
      <c r="B415" s="223"/>
      <c r="C415" s="223"/>
      <c r="D415" s="223"/>
      <c r="E415" s="223"/>
      <c r="F415" s="223"/>
      <c r="G415" s="223"/>
      <c r="H415" s="223"/>
    </row>
    <row r="416" spans="1:8">
      <c r="A416" s="223"/>
      <c r="B416" s="223"/>
      <c r="C416" s="223"/>
      <c r="D416" s="223"/>
      <c r="E416" s="223"/>
      <c r="F416" s="223"/>
      <c r="G416" s="223"/>
      <c r="H416" s="223"/>
    </row>
    <row r="417" spans="1:8">
      <c r="A417" s="223"/>
      <c r="B417" s="223"/>
      <c r="C417" s="223"/>
      <c r="D417" s="223"/>
      <c r="E417" s="223"/>
      <c r="F417" s="223"/>
      <c r="G417" s="223"/>
      <c r="H417" s="223"/>
    </row>
    <row r="418" spans="1:8">
      <c r="A418" s="223"/>
      <c r="B418" s="223"/>
      <c r="C418" s="223"/>
      <c r="D418" s="223"/>
      <c r="E418" s="223"/>
      <c r="F418" s="223"/>
      <c r="G418" s="223"/>
      <c r="H418" s="223"/>
    </row>
    <row r="419" spans="1:8">
      <c r="A419" s="223"/>
      <c r="B419" s="223"/>
      <c r="C419" s="223"/>
      <c r="D419" s="223"/>
      <c r="E419" s="223"/>
      <c r="F419" s="223"/>
      <c r="G419" s="223"/>
      <c r="H419" s="223"/>
    </row>
    <row r="420" spans="1:8">
      <c r="A420" s="223"/>
      <c r="B420" s="223"/>
      <c r="C420" s="223"/>
      <c r="D420" s="223"/>
      <c r="E420" s="223"/>
      <c r="F420" s="223"/>
      <c r="G420" s="223"/>
      <c r="H420" s="223"/>
    </row>
    <row r="421" spans="1:8">
      <c r="A421" s="223"/>
      <c r="B421" s="223"/>
      <c r="C421" s="223"/>
      <c r="D421" s="223"/>
      <c r="E421" s="223"/>
      <c r="F421" s="223"/>
      <c r="G421" s="223"/>
      <c r="H421" s="223"/>
    </row>
    <row r="422" spans="1:8">
      <c r="A422" s="223"/>
      <c r="B422" s="223"/>
      <c r="C422" s="223"/>
      <c r="D422" s="223"/>
      <c r="E422" s="223"/>
      <c r="F422" s="223"/>
      <c r="G422" s="223"/>
      <c r="H422" s="223"/>
    </row>
    <row r="423" spans="1:8">
      <c r="A423" s="223"/>
      <c r="B423" s="223"/>
      <c r="C423" s="223"/>
      <c r="D423" s="223"/>
      <c r="E423" s="223"/>
      <c r="F423" s="223"/>
      <c r="G423" s="223"/>
      <c r="H423" s="223"/>
    </row>
    <row r="424" spans="1:8">
      <c r="A424" s="223"/>
      <c r="B424" s="223"/>
      <c r="C424" s="223"/>
      <c r="D424" s="223"/>
      <c r="E424" s="223"/>
      <c r="F424" s="223"/>
      <c r="G424" s="223"/>
      <c r="H424" s="223"/>
    </row>
    <row r="425" spans="1:8">
      <c r="A425" s="223"/>
      <c r="B425" s="223"/>
      <c r="C425" s="223"/>
      <c r="D425" s="223"/>
      <c r="E425" s="223"/>
      <c r="F425" s="223"/>
      <c r="G425" s="223"/>
      <c r="H425" s="223"/>
    </row>
    <row r="426" spans="1:8">
      <c r="A426" s="223"/>
      <c r="B426" s="223"/>
      <c r="C426" s="223"/>
      <c r="D426" s="223"/>
      <c r="E426" s="223"/>
      <c r="F426" s="223"/>
      <c r="G426" s="223"/>
      <c r="H426" s="223"/>
    </row>
    <row r="427" spans="1:8">
      <c r="A427" s="223"/>
      <c r="B427" s="223"/>
      <c r="C427" s="223"/>
      <c r="D427" s="223"/>
      <c r="E427" s="223"/>
      <c r="F427" s="223"/>
      <c r="G427" s="223"/>
      <c r="H427" s="223"/>
    </row>
    <row r="428" spans="1:8">
      <c r="A428" s="223"/>
      <c r="B428" s="223"/>
      <c r="C428" s="223"/>
      <c r="D428" s="223"/>
      <c r="E428" s="223"/>
      <c r="F428" s="223"/>
      <c r="G428" s="223"/>
      <c r="H428" s="223"/>
    </row>
    <row r="429" spans="1:8">
      <c r="A429" s="223"/>
      <c r="B429" s="223"/>
      <c r="C429" s="223"/>
      <c r="D429" s="223"/>
      <c r="E429" s="223"/>
      <c r="F429" s="223"/>
      <c r="G429" s="223"/>
      <c r="H429" s="223"/>
    </row>
    <row r="430" spans="1:8">
      <c r="A430" s="223"/>
      <c r="B430" s="223"/>
      <c r="C430" s="223"/>
      <c r="D430" s="223"/>
      <c r="E430" s="223"/>
      <c r="F430" s="223"/>
      <c r="G430" s="223"/>
      <c r="H430" s="223"/>
    </row>
    <row r="431" spans="1:8">
      <c r="A431" s="223"/>
      <c r="B431" s="223"/>
      <c r="C431" s="223"/>
      <c r="D431" s="223"/>
      <c r="E431" s="223"/>
      <c r="F431" s="223"/>
      <c r="G431" s="223"/>
      <c r="H431" s="223"/>
    </row>
    <row r="432" spans="1:8">
      <c r="A432" s="223"/>
      <c r="B432" s="223"/>
      <c r="C432" s="223"/>
      <c r="D432" s="223"/>
      <c r="E432" s="223"/>
      <c r="F432" s="223"/>
      <c r="G432" s="223"/>
      <c r="H432" s="223"/>
    </row>
    <row r="433" spans="1:8">
      <c r="A433" s="223"/>
      <c r="B433" s="223"/>
      <c r="C433" s="223"/>
      <c r="D433" s="223"/>
      <c r="E433" s="223"/>
      <c r="F433" s="223"/>
      <c r="G433" s="223"/>
      <c r="H433" s="223"/>
    </row>
    <row r="434" spans="1:8">
      <c r="A434" s="223"/>
      <c r="B434" s="223"/>
      <c r="C434" s="223"/>
      <c r="D434" s="223"/>
      <c r="E434" s="223"/>
      <c r="F434" s="223"/>
      <c r="G434" s="223"/>
      <c r="H434" s="223"/>
    </row>
    <row r="435" spans="1:8">
      <c r="A435" s="223"/>
      <c r="B435" s="223"/>
      <c r="C435" s="223"/>
      <c r="D435" s="223"/>
      <c r="E435" s="223"/>
      <c r="F435" s="223"/>
      <c r="G435" s="223"/>
      <c r="H435" s="223"/>
    </row>
    <row r="436" spans="1:8">
      <c r="A436" s="223"/>
      <c r="B436" s="223"/>
      <c r="C436" s="223"/>
      <c r="D436" s="223"/>
      <c r="E436" s="223"/>
      <c r="F436" s="223"/>
      <c r="G436" s="223"/>
      <c r="H436" s="223"/>
    </row>
    <row r="437" spans="1:8">
      <c r="A437" s="223"/>
      <c r="B437" s="223"/>
      <c r="C437" s="223"/>
      <c r="D437" s="223"/>
      <c r="E437" s="223"/>
      <c r="F437" s="223"/>
      <c r="G437" s="223"/>
      <c r="H437" s="223"/>
    </row>
    <row r="438" spans="1:8">
      <c r="A438" s="223"/>
      <c r="B438" s="223"/>
      <c r="C438" s="223"/>
      <c r="D438" s="223"/>
      <c r="E438" s="223"/>
      <c r="F438" s="223"/>
      <c r="G438" s="223"/>
      <c r="H438" s="223"/>
    </row>
    <row r="439" spans="1:8">
      <c r="A439" s="223"/>
      <c r="B439" s="223"/>
      <c r="C439" s="223"/>
      <c r="D439" s="223"/>
      <c r="E439" s="223"/>
      <c r="F439" s="223"/>
      <c r="G439" s="223"/>
      <c r="H439" s="223"/>
    </row>
    <row r="440" spans="1:8">
      <c r="A440" s="223"/>
      <c r="B440" s="223"/>
      <c r="C440" s="223"/>
      <c r="D440" s="223"/>
      <c r="E440" s="223"/>
      <c r="F440" s="223"/>
      <c r="G440" s="223"/>
      <c r="H440" s="223"/>
    </row>
    <row r="441" spans="1:8">
      <c r="A441" s="223"/>
      <c r="B441" s="223"/>
      <c r="C441" s="223"/>
      <c r="D441" s="223"/>
      <c r="E441" s="223"/>
      <c r="F441" s="223"/>
      <c r="G441" s="223"/>
      <c r="H441" s="223"/>
    </row>
    <row r="442" spans="1:8">
      <c r="A442" s="223"/>
      <c r="B442" s="223"/>
      <c r="C442" s="223"/>
      <c r="D442" s="223"/>
      <c r="E442" s="223"/>
      <c r="F442" s="223"/>
      <c r="G442" s="223"/>
      <c r="H442" s="223"/>
    </row>
    <row r="443" spans="1:8">
      <c r="A443" s="223"/>
      <c r="B443" s="223"/>
      <c r="C443" s="223"/>
      <c r="D443" s="223"/>
      <c r="E443" s="223"/>
      <c r="F443" s="223"/>
      <c r="G443" s="223"/>
      <c r="H443" s="223"/>
    </row>
    <row r="444" spans="1:8">
      <c r="A444" s="223"/>
      <c r="B444" s="223"/>
      <c r="C444" s="223"/>
      <c r="D444" s="223"/>
      <c r="E444" s="223"/>
      <c r="F444" s="223"/>
      <c r="G444" s="223"/>
      <c r="H444" s="223"/>
    </row>
    <row r="445" spans="1:8">
      <c r="A445" s="223"/>
      <c r="B445" s="223"/>
      <c r="C445" s="223"/>
      <c r="D445" s="223"/>
      <c r="E445" s="223"/>
      <c r="F445" s="223"/>
      <c r="G445" s="223"/>
      <c r="H445" s="223"/>
    </row>
    <row r="446" spans="1:8">
      <c r="A446" s="223"/>
      <c r="B446" s="223"/>
      <c r="C446" s="223"/>
      <c r="D446" s="223"/>
      <c r="E446" s="223"/>
      <c r="F446" s="223"/>
      <c r="G446" s="223"/>
      <c r="H446" s="223"/>
    </row>
    <row r="447" spans="1:8">
      <c r="A447" s="223"/>
      <c r="B447" s="223"/>
      <c r="C447" s="223"/>
      <c r="D447" s="223"/>
      <c r="E447" s="223"/>
      <c r="F447" s="223"/>
      <c r="G447" s="223"/>
      <c r="H447" s="223"/>
    </row>
    <row r="448" spans="1:8">
      <c r="A448" s="223"/>
      <c r="B448" s="223"/>
      <c r="C448" s="223"/>
      <c r="D448" s="223"/>
      <c r="E448" s="223"/>
      <c r="F448" s="223"/>
      <c r="G448" s="223"/>
      <c r="H448" s="223"/>
    </row>
    <row r="449" spans="1:8">
      <c r="A449" s="223"/>
      <c r="B449" s="223"/>
      <c r="C449" s="223"/>
      <c r="D449" s="223"/>
      <c r="E449" s="223"/>
      <c r="F449" s="223"/>
      <c r="G449" s="223"/>
      <c r="H449" s="223"/>
    </row>
    <row r="450" spans="1:8">
      <c r="A450" s="223"/>
      <c r="B450" s="223"/>
      <c r="C450" s="223"/>
      <c r="D450" s="223"/>
      <c r="E450" s="223"/>
      <c r="F450" s="223"/>
      <c r="G450" s="223"/>
      <c r="H450" s="223"/>
    </row>
    <row r="451" spans="1:8">
      <c r="A451" s="223"/>
      <c r="B451" s="223"/>
      <c r="C451" s="223"/>
      <c r="D451" s="223"/>
      <c r="E451" s="223"/>
      <c r="F451" s="223"/>
      <c r="G451" s="223"/>
      <c r="H451" s="223"/>
    </row>
    <row r="452" spans="1:8">
      <c r="A452" s="223"/>
      <c r="B452" s="223"/>
      <c r="C452" s="223"/>
      <c r="D452" s="223"/>
      <c r="E452" s="223"/>
      <c r="F452" s="223"/>
      <c r="G452" s="223"/>
      <c r="H452" s="223"/>
    </row>
    <row r="453" spans="1:8">
      <c r="A453" s="223"/>
      <c r="B453" s="223"/>
      <c r="C453" s="223"/>
      <c r="D453" s="223"/>
      <c r="E453" s="223"/>
      <c r="F453" s="223"/>
      <c r="G453" s="223"/>
      <c r="H453" s="223"/>
    </row>
    <row r="454" spans="1:8">
      <c r="A454" s="223"/>
      <c r="B454" s="223"/>
      <c r="C454" s="223"/>
      <c r="D454" s="223"/>
      <c r="E454" s="223"/>
      <c r="F454" s="223"/>
      <c r="G454" s="223"/>
      <c r="H454" s="223"/>
    </row>
    <row r="455" spans="1:8">
      <c r="A455" s="223"/>
      <c r="B455" s="223"/>
      <c r="C455" s="223"/>
      <c r="D455" s="223"/>
      <c r="E455" s="223"/>
      <c r="F455" s="223"/>
      <c r="G455" s="223"/>
      <c r="H455" s="223"/>
    </row>
    <row r="456" spans="1:8">
      <c r="A456" s="223"/>
      <c r="B456" s="223"/>
      <c r="C456" s="223"/>
      <c r="D456" s="223"/>
      <c r="E456" s="223"/>
      <c r="F456" s="223"/>
      <c r="G456" s="223"/>
      <c r="H456" s="223"/>
    </row>
    <row r="457" spans="1:8">
      <c r="A457" s="223"/>
      <c r="B457" s="223"/>
      <c r="C457" s="223"/>
      <c r="D457" s="223"/>
      <c r="E457" s="223"/>
      <c r="F457" s="223"/>
      <c r="G457" s="223"/>
      <c r="H457" s="223"/>
    </row>
    <row r="458" spans="1:8">
      <c r="A458" s="223"/>
      <c r="B458" s="223"/>
      <c r="C458" s="223"/>
      <c r="D458" s="223"/>
      <c r="E458" s="223"/>
      <c r="F458" s="223"/>
      <c r="G458" s="223"/>
      <c r="H458" s="223"/>
    </row>
    <row r="459" spans="1:8">
      <c r="A459" s="223"/>
      <c r="B459" s="223"/>
      <c r="C459" s="223"/>
      <c r="D459" s="223"/>
      <c r="E459" s="223"/>
      <c r="F459" s="223"/>
      <c r="G459" s="223"/>
      <c r="H459" s="223"/>
    </row>
    <row r="460" spans="1:8">
      <c r="A460" s="223"/>
      <c r="B460" s="223"/>
      <c r="C460" s="223"/>
      <c r="D460" s="223"/>
      <c r="E460" s="223"/>
      <c r="F460" s="223"/>
      <c r="G460" s="223"/>
      <c r="H460" s="223"/>
    </row>
    <row r="461" spans="1:8">
      <c r="A461" s="223"/>
      <c r="B461" s="223"/>
      <c r="C461" s="223"/>
      <c r="D461" s="223"/>
      <c r="E461" s="223"/>
      <c r="F461" s="223"/>
      <c r="G461" s="223"/>
      <c r="H461" s="223"/>
    </row>
    <row r="462" spans="1:8">
      <c r="A462" s="223"/>
      <c r="B462" s="223"/>
      <c r="C462" s="223"/>
      <c r="D462" s="223"/>
      <c r="E462" s="223"/>
      <c r="F462" s="223"/>
      <c r="G462" s="223"/>
      <c r="H462" s="223"/>
    </row>
    <row r="463" spans="1:8">
      <c r="A463" s="223"/>
      <c r="B463" s="223"/>
      <c r="C463" s="223"/>
      <c r="D463" s="223"/>
      <c r="E463" s="223"/>
      <c r="F463" s="223"/>
      <c r="G463" s="223"/>
      <c r="H463" s="223"/>
    </row>
    <row r="464" spans="1:8">
      <c r="A464" s="223"/>
      <c r="B464" s="223"/>
      <c r="C464" s="223"/>
      <c r="D464" s="223"/>
      <c r="E464" s="223"/>
      <c r="F464" s="223"/>
      <c r="G464" s="223"/>
      <c r="H464" s="223"/>
    </row>
    <row r="465" spans="1:8">
      <c r="A465" s="223"/>
      <c r="B465" s="223"/>
      <c r="C465" s="223"/>
      <c r="D465" s="223"/>
      <c r="E465" s="223"/>
      <c r="F465" s="223"/>
      <c r="G465" s="223"/>
      <c r="H465" s="223"/>
    </row>
    <row r="466" spans="1:8">
      <c r="A466" s="223"/>
      <c r="B466" s="223"/>
      <c r="C466" s="223"/>
      <c r="D466" s="223"/>
      <c r="E466" s="223"/>
      <c r="F466" s="223"/>
      <c r="G466" s="223"/>
      <c r="H466" s="223"/>
    </row>
    <row r="467" spans="1:8">
      <c r="A467" s="223"/>
      <c r="B467" s="223"/>
      <c r="C467" s="223"/>
      <c r="D467" s="223"/>
      <c r="E467" s="223"/>
      <c r="F467" s="223"/>
      <c r="G467" s="223"/>
      <c r="H467" s="223"/>
    </row>
    <row r="468" spans="1:8">
      <c r="A468" s="223"/>
      <c r="B468" s="223"/>
      <c r="C468" s="223"/>
      <c r="D468" s="223"/>
      <c r="E468" s="223"/>
      <c r="F468" s="223"/>
      <c r="G468" s="223"/>
      <c r="H468" s="223"/>
    </row>
    <row r="469" spans="1:8">
      <c r="A469" s="223"/>
      <c r="B469" s="223"/>
      <c r="C469" s="223"/>
      <c r="D469" s="223"/>
      <c r="E469" s="223"/>
      <c r="F469" s="223"/>
      <c r="G469" s="223"/>
      <c r="H469" s="223"/>
    </row>
    <row r="470" spans="1:8">
      <c r="A470" s="223"/>
      <c r="B470" s="223"/>
      <c r="C470" s="223"/>
      <c r="D470" s="223"/>
      <c r="E470" s="223"/>
      <c r="F470" s="223"/>
      <c r="G470" s="223"/>
      <c r="H470" s="223"/>
    </row>
    <row r="471" spans="1:8">
      <c r="A471" s="223"/>
      <c r="B471" s="223"/>
      <c r="C471" s="223"/>
      <c r="D471" s="223"/>
      <c r="E471" s="223"/>
      <c r="F471" s="223"/>
      <c r="G471" s="223"/>
      <c r="H471" s="223"/>
    </row>
    <row r="472" spans="1:8">
      <c r="A472" s="223"/>
      <c r="B472" s="223"/>
      <c r="C472" s="223"/>
      <c r="D472" s="223"/>
      <c r="E472" s="223"/>
      <c r="F472" s="223"/>
      <c r="G472" s="223"/>
      <c r="H472" s="223"/>
    </row>
    <row r="473" spans="1:8">
      <c r="A473" s="223"/>
      <c r="B473" s="223"/>
      <c r="C473" s="223"/>
      <c r="D473" s="223"/>
      <c r="E473" s="223"/>
      <c r="F473" s="223"/>
      <c r="G473" s="223"/>
      <c r="H473" s="223"/>
    </row>
    <row r="474" spans="1:8">
      <c r="A474" s="223"/>
      <c r="B474" s="223"/>
      <c r="C474" s="223"/>
      <c r="D474" s="223"/>
      <c r="E474" s="223"/>
      <c r="F474" s="223"/>
      <c r="G474" s="223"/>
      <c r="H474" s="223"/>
    </row>
    <row r="475" spans="1:8">
      <c r="A475" s="223"/>
      <c r="B475" s="223"/>
      <c r="C475" s="223"/>
      <c r="D475" s="223"/>
      <c r="E475" s="223"/>
      <c r="F475" s="223"/>
      <c r="G475" s="223"/>
      <c r="H475" s="223"/>
    </row>
    <row r="476" spans="1:8">
      <c r="A476" s="223"/>
      <c r="B476" s="223"/>
      <c r="C476" s="223"/>
      <c r="D476" s="223"/>
      <c r="E476" s="223"/>
      <c r="F476" s="223"/>
      <c r="G476" s="223"/>
      <c r="H476" s="223"/>
    </row>
    <row r="477" spans="1:8">
      <c r="A477" s="223"/>
      <c r="B477" s="223"/>
      <c r="C477" s="223"/>
      <c r="D477" s="223"/>
      <c r="E477" s="223"/>
      <c r="F477" s="223"/>
      <c r="G477" s="223"/>
      <c r="H477" s="223"/>
    </row>
    <row r="478" spans="1:8">
      <c r="A478" s="223"/>
      <c r="B478" s="223"/>
      <c r="C478" s="223"/>
      <c r="D478" s="223"/>
      <c r="E478" s="223"/>
      <c r="F478" s="223"/>
      <c r="G478" s="223"/>
      <c r="H478" s="223"/>
    </row>
    <row r="479" spans="1:8">
      <c r="A479" s="223"/>
      <c r="B479" s="223"/>
      <c r="C479" s="223"/>
      <c r="D479" s="223"/>
      <c r="E479" s="223"/>
      <c r="F479" s="223"/>
      <c r="G479" s="223"/>
      <c r="H479" s="223"/>
    </row>
    <row r="480" spans="1:8">
      <c r="A480" s="223"/>
      <c r="B480" s="223"/>
      <c r="C480" s="223"/>
      <c r="D480" s="223"/>
      <c r="E480" s="223"/>
      <c r="F480" s="223"/>
      <c r="G480" s="223"/>
      <c r="H480" s="223"/>
    </row>
    <row r="481" spans="1:8">
      <c r="A481" s="223"/>
      <c r="B481" s="223"/>
      <c r="C481" s="223"/>
      <c r="D481" s="223"/>
      <c r="E481" s="223"/>
      <c r="F481" s="223"/>
      <c r="G481" s="223"/>
      <c r="H481" s="223"/>
    </row>
    <row r="482" spans="1:8">
      <c r="A482" s="223"/>
      <c r="B482" s="223"/>
      <c r="C482" s="223"/>
      <c r="D482" s="223"/>
      <c r="E482" s="223"/>
      <c r="F482" s="223"/>
      <c r="G482" s="223"/>
      <c r="H482" s="223"/>
    </row>
    <row r="483" spans="1:8">
      <c r="A483" s="223"/>
      <c r="B483" s="223"/>
      <c r="C483" s="223"/>
      <c r="D483" s="223"/>
      <c r="E483" s="223"/>
      <c r="F483" s="223"/>
      <c r="G483" s="223"/>
      <c r="H483" s="223"/>
    </row>
    <row r="484" spans="1:8">
      <c r="A484" s="223"/>
      <c r="B484" s="223"/>
      <c r="C484" s="223"/>
      <c r="D484" s="223"/>
      <c r="E484" s="223"/>
      <c r="F484" s="223"/>
      <c r="G484" s="223"/>
      <c r="H484" s="223"/>
    </row>
    <row r="485" spans="1:8">
      <c r="A485" s="223"/>
      <c r="B485" s="223"/>
      <c r="C485" s="223"/>
      <c r="D485" s="223"/>
      <c r="E485" s="223"/>
      <c r="F485" s="223"/>
      <c r="G485" s="223"/>
      <c r="H485" s="223"/>
    </row>
    <row r="486" spans="1:8">
      <c r="A486" s="223"/>
      <c r="B486" s="223"/>
      <c r="C486" s="223"/>
      <c r="D486" s="223"/>
      <c r="E486" s="223"/>
      <c r="F486" s="223"/>
      <c r="G486" s="223"/>
      <c r="H486" s="223"/>
    </row>
    <row r="487" spans="1:8">
      <c r="A487" s="223"/>
      <c r="B487" s="223"/>
      <c r="C487" s="223"/>
      <c r="D487" s="223"/>
      <c r="E487" s="223"/>
      <c r="F487" s="223"/>
      <c r="G487" s="223"/>
      <c r="H487" s="223"/>
    </row>
    <row r="488" spans="1:8">
      <c r="A488" s="223"/>
      <c r="B488" s="223"/>
      <c r="C488" s="223"/>
      <c r="D488" s="223"/>
      <c r="E488" s="223"/>
      <c r="F488" s="223"/>
      <c r="G488" s="223"/>
      <c r="H488" s="223"/>
    </row>
    <row r="489" spans="1:8">
      <c r="A489" s="223"/>
      <c r="B489" s="223"/>
      <c r="C489" s="223"/>
      <c r="D489" s="223"/>
      <c r="E489" s="223"/>
      <c r="F489" s="223"/>
      <c r="G489" s="223"/>
      <c r="H489" s="223"/>
    </row>
    <row r="490" spans="1:8">
      <c r="A490" s="223"/>
      <c r="B490" s="223"/>
      <c r="C490" s="223"/>
      <c r="D490" s="223"/>
      <c r="E490" s="223"/>
      <c r="F490" s="223"/>
      <c r="G490" s="223"/>
      <c r="H490" s="223"/>
    </row>
    <row r="491" spans="1:8">
      <c r="A491" s="223"/>
      <c r="B491" s="223"/>
      <c r="C491" s="223"/>
      <c r="D491" s="223"/>
      <c r="E491" s="223"/>
      <c r="F491" s="223"/>
      <c r="G491" s="223"/>
      <c r="H491" s="223"/>
    </row>
    <row r="492" spans="1:8">
      <c r="A492" s="223"/>
      <c r="B492" s="223"/>
      <c r="C492" s="223"/>
      <c r="D492" s="223"/>
      <c r="E492" s="223"/>
      <c r="F492" s="223"/>
      <c r="G492" s="223"/>
      <c r="H492" s="223"/>
    </row>
    <row r="493" spans="1:8">
      <c r="A493" s="223"/>
      <c r="B493" s="223"/>
      <c r="C493" s="223"/>
      <c r="D493" s="223"/>
      <c r="E493" s="223"/>
      <c r="F493" s="223"/>
      <c r="G493" s="223"/>
      <c r="H493" s="223"/>
    </row>
    <row r="494" spans="1:8">
      <c r="A494" s="223"/>
      <c r="B494" s="223"/>
      <c r="C494" s="223"/>
      <c r="D494" s="223"/>
      <c r="E494" s="223"/>
      <c r="F494" s="223"/>
      <c r="G494" s="223"/>
      <c r="H494" s="223"/>
    </row>
    <row r="495" spans="1:8">
      <c r="A495" s="223"/>
      <c r="B495" s="223"/>
      <c r="C495" s="223"/>
      <c r="D495" s="223"/>
      <c r="E495" s="223"/>
      <c r="F495" s="223"/>
      <c r="G495" s="223"/>
      <c r="H495" s="223"/>
    </row>
    <row r="496" spans="1:8">
      <c r="A496" s="223"/>
      <c r="B496" s="223"/>
      <c r="C496" s="223"/>
      <c r="D496" s="223"/>
      <c r="E496" s="223"/>
      <c r="F496" s="223"/>
      <c r="G496" s="223"/>
      <c r="H496" s="223"/>
    </row>
    <row r="497" spans="1:8">
      <c r="A497" s="223"/>
      <c r="B497" s="223"/>
      <c r="C497" s="223"/>
      <c r="D497" s="223"/>
      <c r="E497" s="223"/>
      <c r="F497" s="223"/>
      <c r="G497" s="223"/>
      <c r="H497" s="223"/>
    </row>
    <row r="498" spans="1:8">
      <c r="A498" s="223"/>
      <c r="B498" s="223"/>
      <c r="C498" s="223"/>
      <c r="D498" s="223"/>
      <c r="E498" s="223"/>
      <c r="F498" s="223"/>
      <c r="G498" s="223"/>
      <c r="H498" s="223"/>
    </row>
    <row r="499" spans="1:8">
      <c r="A499" s="223"/>
      <c r="B499" s="223"/>
      <c r="C499" s="223"/>
      <c r="D499" s="223"/>
      <c r="E499" s="223"/>
      <c r="F499" s="223"/>
      <c r="G499" s="223"/>
      <c r="H499" s="223"/>
    </row>
    <row r="500" spans="1:8">
      <c r="A500" s="223"/>
      <c r="B500" s="223"/>
      <c r="C500" s="223"/>
      <c r="D500" s="223"/>
      <c r="E500" s="223"/>
      <c r="F500" s="223"/>
      <c r="G500" s="223"/>
      <c r="H500" s="223"/>
    </row>
    <row r="501" spans="1:8">
      <c r="A501" s="223"/>
      <c r="B501" s="223"/>
      <c r="C501" s="223"/>
      <c r="D501" s="223"/>
      <c r="E501" s="223"/>
      <c r="F501" s="223"/>
      <c r="G501" s="223"/>
      <c r="H501" s="223"/>
    </row>
    <row r="502" spans="1:8">
      <c r="A502" s="223"/>
      <c r="B502" s="223"/>
      <c r="C502" s="223"/>
      <c r="D502" s="223"/>
      <c r="E502" s="223"/>
      <c r="F502" s="223"/>
      <c r="G502" s="223"/>
      <c r="H502" s="223"/>
    </row>
    <row r="503" spans="1:8">
      <c r="A503" s="223"/>
      <c r="B503" s="223"/>
      <c r="C503" s="223"/>
      <c r="D503" s="223"/>
      <c r="E503" s="223"/>
      <c r="F503" s="223"/>
      <c r="G503" s="223"/>
      <c r="H503" s="223"/>
    </row>
    <row r="504" spans="1:8">
      <c r="A504" s="223"/>
      <c r="B504" s="223"/>
      <c r="C504" s="223"/>
      <c r="D504" s="223"/>
      <c r="E504" s="223"/>
      <c r="F504" s="223"/>
      <c r="G504" s="223"/>
      <c r="H504" s="223"/>
    </row>
    <row r="505" spans="1:8">
      <c r="A505" s="223"/>
      <c r="B505" s="223"/>
      <c r="C505" s="223"/>
      <c r="D505" s="223"/>
      <c r="E505" s="223"/>
      <c r="F505" s="223"/>
      <c r="G505" s="223"/>
      <c r="H505" s="223"/>
    </row>
    <row r="506" spans="1:8">
      <c r="A506" s="223"/>
      <c r="B506" s="223"/>
      <c r="C506" s="223"/>
      <c r="D506" s="223"/>
      <c r="E506" s="223"/>
      <c r="F506" s="223"/>
      <c r="G506" s="223"/>
      <c r="H506" s="223"/>
    </row>
    <row r="507" spans="1:8">
      <c r="A507" s="223"/>
      <c r="B507" s="223"/>
      <c r="C507" s="223"/>
      <c r="D507" s="223"/>
      <c r="E507" s="223"/>
      <c r="F507" s="223"/>
      <c r="G507" s="223"/>
      <c r="H507" s="223"/>
    </row>
    <row r="508" spans="1:8">
      <c r="A508" s="223"/>
      <c r="B508" s="223"/>
      <c r="C508" s="223"/>
      <c r="D508" s="223"/>
      <c r="E508" s="223"/>
      <c r="F508" s="223"/>
      <c r="G508" s="223"/>
      <c r="H508" s="223"/>
    </row>
    <row r="509" spans="1:8">
      <c r="A509" s="223"/>
      <c r="B509" s="223"/>
      <c r="C509" s="223"/>
      <c r="D509" s="223"/>
      <c r="E509" s="223"/>
      <c r="F509" s="223"/>
      <c r="G509" s="223"/>
      <c r="H509" s="223"/>
    </row>
    <row r="510" spans="1:8">
      <c r="A510" s="223"/>
      <c r="B510" s="223"/>
      <c r="C510" s="223"/>
      <c r="D510" s="223"/>
      <c r="E510" s="223"/>
      <c r="F510" s="223"/>
      <c r="G510" s="223"/>
      <c r="H510" s="223"/>
    </row>
    <row r="511" spans="1:8">
      <c r="A511" s="223"/>
      <c r="B511" s="223"/>
      <c r="C511" s="223"/>
      <c r="D511" s="223"/>
      <c r="E511" s="223"/>
      <c r="F511" s="223"/>
      <c r="G511" s="223"/>
      <c r="H511" s="223"/>
    </row>
    <row r="512" spans="1:8">
      <c r="A512" s="223"/>
      <c r="B512" s="223"/>
      <c r="C512" s="223"/>
      <c r="D512" s="223"/>
      <c r="E512" s="223"/>
      <c r="F512" s="223"/>
      <c r="G512" s="223"/>
      <c r="H512" s="223"/>
    </row>
    <row r="513" spans="1:8">
      <c r="A513" s="223"/>
      <c r="B513" s="223"/>
      <c r="C513" s="223"/>
      <c r="D513" s="223"/>
      <c r="E513" s="223"/>
      <c r="F513" s="223"/>
      <c r="G513" s="223"/>
      <c r="H513" s="223"/>
    </row>
    <row r="514" spans="1:8">
      <c r="A514" s="223"/>
      <c r="B514" s="223"/>
      <c r="C514" s="223"/>
      <c r="D514" s="223"/>
      <c r="E514" s="223"/>
      <c r="F514" s="223"/>
      <c r="G514" s="223"/>
      <c r="H514" s="223"/>
    </row>
    <row r="515" spans="1:8">
      <c r="A515" s="223"/>
      <c r="B515" s="223"/>
      <c r="C515" s="223"/>
      <c r="D515" s="223"/>
      <c r="E515" s="223"/>
      <c r="F515" s="223"/>
      <c r="G515" s="223"/>
      <c r="H515" s="223"/>
    </row>
    <row r="516" spans="1:8">
      <c r="A516" s="223"/>
      <c r="B516" s="223"/>
      <c r="C516" s="223"/>
      <c r="D516" s="223"/>
      <c r="E516" s="223"/>
      <c r="F516" s="223"/>
      <c r="G516" s="223"/>
      <c r="H516" s="223"/>
    </row>
    <row r="517" spans="1:8">
      <c r="A517" s="223"/>
      <c r="B517" s="223"/>
      <c r="C517" s="223"/>
      <c r="D517" s="223"/>
      <c r="E517" s="223"/>
      <c r="F517" s="223"/>
      <c r="G517" s="223"/>
      <c r="H517" s="223"/>
    </row>
    <row r="518" spans="1:8">
      <c r="A518" s="223"/>
      <c r="B518" s="223"/>
      <c r="C518" s="223"/>
      <c r="D518" s="223"/>
      <c r="E518" s="223"/>
      <c r="F518" s="223"/>
      <c r="G518" s="223"/>
      <c r="H518" s="223"/>
    </row>
    <row r="519" spans="1:8">
      <c r="A519" s="223"/>
      <c r="B519" s="223"/>
      <c r="C519" s="223"/>
      <c r="D519" s="223"/>
      <c r="E519" s="223"/>
      <c r="F519" s="223"/>
      <c r="G519" s="223"/>
      <c r="H519" s="223"/>
    </row>
    <row r="520" spans="1:8">
      <c r="A520" s="223"/>
      <c r="B520" s="223"/>
      <c r="C520" s="223"/>
      <c r="D520" s="223"/>
      <c r="E520" s="223"/>
      <c r="F520" s="223"/>
      <c r="G520" s="223"/>
      <c r="H520" s="223"/>
    </row>
    <row r="521" spans="1:8">
      <c r="A521" s="223"/>
      <c r="B521" s="223"/>
      <c r="C521" s="223"/>
      <c r="D521" s="223"/>
      <c r="E521" s="223"/>
      <c r="F521" s="223"/>
      <c r="G521" s="223"/>
      <c r="H521" s="223"/>
    </row>
    <row r="522" spans="1:8">
      <c r="A522" s="223"/>
      <c r="B522" s="223"/>
      <c r="C522" s="223"/>
      <c r="D522" s="223"/>
      <c r="E522" s="223"/>
      <c r="F522" s="223"/>
      <c r="G522" s="223"/>
      <c r="H522" s="223"/>
    </row>
    <row r="523" spans="1:8">
      <c r="A523" s="223"/>
      <c r="B523" s="223"/>
      <c r="C523" s="223"/>
      <c r="D523" s="223"/>
      <c r="E523" s="223"/>
      <c r="F523" s="223"/>
      <c r="G523" s="223"/>
      <c r="H523" s="223"/>
    </row>
    <row r="524" spans="1:8">
      <c r="A524" s="223"/>
      <c r="B524" s="223"/>
      <c r="C524" s="223"/>
      <c r="D524" s="223"/>
      <c r="E524" s="223"/>
      <c r="F524" s="223"/>
      <c r="G524" s="223"/>
      <c r="H524" s="223"/>
    </row>
    <row r="525" spans="1:8">
      <c r="A525" s="223"/>
      <c r="B525" s="223"/>
      <c r="C525" s="223"/>
      <c r="D525" s="223"/>
      <c r="E525" s="223"/>
      <c r="F525" s="223"/>
      <c r="G525" s="223"/>
      <c r="H525" s="223"/>
    </row>
    <row r="526" spans="1:8">
      <c r="A526" s="223"/>
      <c r="B526" s="223"/>
      <c r="C526" s="223"/>
      <c r="D526" s="223"/>
      <c r="E526" s="223"/>
      <c r="F526" s="223"/>
      <c r="G526" s="223"/>
      <c r="H526" s="223"/>
    </row>
    <row r="527" spans="1:8">
      <c r="A527" s="223"/>
      <c r="B527" s="223"/>
      <c r="C527" s="223"/>
      <c r="D527" s="223"/>
      <c r="E527" s="223"/>
      <c r="F527" s="223"/>
      <c r="G527" s="223"/>
      <c r="H527" s="223"/>
    </row>
    <row r="528" spans="1:8">
      <c r="A528" s="223"/>
      <c r="B528" s="223"/>
      <c r="C528" s="223"/>
      <c r="D528" s="223"/>
      <c r="E528" s="223"/>
      <c r="F528" s="223"/>
      <c r="G528" s="223"/>
      <c r="H528" s="223"/>
    </row>
    <row r="529" spans="1:8">
      <c r="A529" s="223"/>
      <c r="B529" s="223"/>
      <c r="C529" s="223"/>
      <c r="D529" s="223"/>
      <c r="E529" s="223"/>
      <c r="F529" s="223"/>
      <c r="G529" s="223"/>
      <c r="H529" s="223"/>
    </row>
    <row r="530" spans="1:8">
      <c r="A530" s="223"/>
      <c r="B530" s="223"/>
      <c r="C530" s="223"/>
      <c r="D530" s="223"/>
      <c r="E530" s="223"/>
      <c r="F530" s="223"/>
      <c r="G530" s="223"/>
      <c r="H530" s="223"/>
    </row>
    <row r="531" spans="1:8">
      <c r="A531" s="223"/>
      <c r="B531" s="223"/>
      <c r="C531" s="223"/>
      <c r="D531" s="223"/>
      <c r="E531" s="223"/>
      <c r="F531" s="223"/>
      <c r="G531" s="223"/>
      <c r="H531" s="223"/>
    </row>
    <row r="532" spans="1:8">
      <c r="A532" s="223"/>
      <c r="B532" s="223"/>
      <c r="C532" s="223"/>
      <c r="D532" s="223"/>
      <c r="E532" s="223"/>
      <c r="F532" s="223"/>
      <c r="G532" s="223"/>
      <c r="H532" s="223"/>
    </row>
    <row r="533" spans="1:8">
      <c r="A533" s="223"/>
      <c r="B533" s="223"/>
      <c r="C533" s="223"/>
      <c r="D533" s="223"/>
      <c r="E533" s="223"/>
      <c r="F533" s="223"/>
      <c r="G533" s="223"/>
      <c r="H533" s="223"/>
    </row>
    <row r="534" spans="1:8">
      <c r="A534" s="223"/>
      <c r="B534" s="223"/>
      <c r="C534" s="223"/>
      <c r="D534" s="223"/>
      <c r="E534" s="223"/>
      <c r="F534" s="223"/>
      <c r="G534" s="223"/>
      <c r="H534" s="223"/>
    </row>
    <row r="535" spans="1:8">
      <c r="A535" s="223"/>
      <c r="B535" s="223"/>
      <c r="C535" s="223"/>
      <c r="D535" s="223"/>
      <c r="E535" s="223"/>
      <c r="F535" s="223"/>
      <c r="G535" s="223"/>
      <c r="H535" s="223"/>
    </row>
    <row r="536" spans="1:8">
      <c r="A536" s="223"/>
      <c r="B536" s="223"/>
      <c r="C536" s="223"/>
      <c r="D536" s="223"/>
      <c r="E536" s="223"/>
      <c r="F536" s="223"/>
      <c r="G536" s="223"/>
      <c r="H536" s="223"/>
    </row>
    <row r="537" spans="1:8">
      <c r="A537" s="223"/>
      <c r="B537" s="223"/>
      <c r="C537" s="223"/>
      <c r="D537" s="223"/>
      <c r="E537" s="223"/>
      <c r="F537" s="223"/>
      <c r="G537" s="223"/>
      <c r="H537" s="223"/>
    </row>
    <row r="538" spans="1:8">
      <c r="A538" s="223"/>
      <c r="B538" s="223"/>
      <c r="C538" s="223"/>
      <c r="D538" s="223"/>
      <c r="E538" s="223"/>
      <c r="F538" s="223"/>
      <c r="G538" s="223"/>
      <c r="H538" s="223"/>
    </row>
    <row r="539" spans="1:8">
      <c r="A539" s="223"/>
      <c r="B539" s="223"/>
      <c r="C539" s="223"/>
      <c r="D539" s="223"/>
      <c r="E539" s="223"/>
      <c r="F539" s="223"/>
      <c r="G539" s="223"/>
      <c r="H539" s="223"/>
    </row>
    <row r="540" spans="1:8">
      <c r="A540" s="223"/>
      <c r="B540" s="223"/>
      <c r="C540" s="223"/>
      <c r="D540" s="223"/>
      <c r="E540" s="223"/>
      <c r="F540" s="223"/>
      <c r="G540" s="223"/>
      <c r="H540" s="223"/>
    </row>
    <row r="541" spans="1:8">
      <c r="A541" s="223"/>
      <c r="B541" s="223"/>
      <c r="C541" s="223"/>
      <c r="D541" s="223"/>
      <c r="E541" s="223"/>
      <c r="F541" s="223"/>
      <c r="G541" s="223"/>
      <c r="H541" s="223"/>
    </row>
    <row r="542" spans="1:8">
      <c r="A542" s="223"/>
      <c r="B542" s="223"/>
      <c r="C542" s="223"/>
      <c r="D542" s="223"/>
      <c r="E542" s="223"/>
      <c r="F542" s="223"/>
      <c r="G542" s="223"/>
      <c r="H542" s="223"/>
    </row>
    <row r="543" spans="1:8">
      <c r="A543" s="223"/>
      <c r="B543" s="223"/>
      <c r="C543" s="223"/>
      <c r="D543" s="223"/>
      <c r="E543" s="223"/>
      <c r="F543" s="223"/>
      <c r="G543" s="223"/>
      <c r="H543" s="223"/>
    </row>
    <row r="544" spans="1:8">
      <c r="A544" s="223"/>
      <c r="B544" s="223"/>
      <c r="C544" s="223"/>
      <c r="D544" s="223"/>
      <c r="E544" s="223"/>
      <c r="F544" s="223"/>
      <c r="G544" s="223"/>
      <c r="H544" s="223"/>
    </row>
    <row r="545" spans="1:8">
      <c r="A545" s="223"/>
      <c r="B545" s="223"/>
      <c r="C545" s="223"/>
      <c r="D545" s="223"/>
      <c r="E545" s="223"/>
      <c r="F545" s="223"/>
      <c r="G545" s="223"/>
      <c r="H545" s="223"/>
    </row>
    <row r="546" spans="1:8">
      <c r="A546" s="223"/>
      <c r="B546" s="223"/>
      <c r="C546" s="223"/>
      <c r="D546" s="223"/>
      <c r="E546" s="223"/>
      <c r="F546" s="223"/>
      <c r="G546" s="223"/>
      <c r="H546" s="223"/>
    </row>
    <row r="547" spans="1:8">
      <c r="A547" s="223"/>
      <c r="B547" s="223"/>
      <c r="C547" s="223"/>
      <c r="D547" s="223"/>
      <c r="E547" s="223"/>
      <c r="F547" s="223"/>
      <c r="G547" s="223"/>
      <c r="H547" s="223"/>
    </row>
    <row r="548" spans="1:8">
      <c r="A548" s="223"/>
      <c r="B548" s="223"/>
      <c r="C548" s="223"/>
      <c r="D548" s="223"/>
      <c r="E548" s="223"/>
      <c r="F548" s="223"/>
      <c r="G548" s="223"/>
      <c r="H548" s="223"/>
    </row>
    <row r="549" spans="1:8">
      <c r="A549" s="223"/>
      <c r="B549" s="223"/>
      <c r="C549" s="223"/>
      <c r="D549" s="223"/>
      <c r="E549" s="223"/>
      <c r="F549" s="223"/>
      <c r="G549" s="223"/>
      <c r="H549" s="223"/>
    </row>
    <row r="550" spans="1:8">
      <c r="A550" s="223"/>
      <c r="B550" s="223"/>
      <c r="C550" s="223"/>
      <c r="D550" s="223"/>
      <c r="E550" s="223"/>
      <c r="F550" s="223"/>
      <c r="G550" s="223"/>
      <c r="H550" s="223"/>
    </row>
    <row r="551" spans="1:8">
      <c r="A551" s="223"/>
      <c r="B551" s="223"/>
      <c r="C551" s="223"/>
      <c r="D551" s="223"/>
      <c r="E551" s="223"/>
      <c r="F551" s="223"/>
      <c r="G551" s="223"/>
      <c r="H551" s="223"/>
    </row>
    <row r="552" spans="1:8">
      <c r="A552" s="223"/>
      <c r="B552" s="223"/>
      <c r="C552" s="223"/>
      <c r="D552" s="223"/>
      <c r="E552" s="223"/>
      <c r="F552" s="223"/>
      <c r="G552" s="223"/>
      <c r="H552" s="223"/>
    </row>
    <row r="553" spans="1:8">
      <c r="A553" s="223"/>
      <c r="B553" s="223"/>
      <c r="C553" s="223"/>
      <c r="D553" s="223"/>
      <c r="E553" s="223"/>
      <c r="F553" s="223"/>
      <c r="G553" s="223"/>
      <c r="H553" s="223"/>
    </row>
    <row r="554" spans="1:8">
      <c r="A554" s="223"/>
      <c r="B554" s="223"/>
      <c r="C554" s="223"/>
      <c r="D554" s="223"/>
      <c r="E554" s="223"/>
      <c r="F554" s="223"/>
      <c r="G554" s="223"/>
      <c r="H554" s="223"/>
    </row>
    <row r="555" spans="1:8">
      <c r="A555" s="223"/>
      <c r="B555" s="223"/>
      <c r="C555" s="223"/>
      <c r="D555" s="223"/>
      <c r="E555" s="223"/>
      <c r="F555" s="223"/>
      <c r="G555" s="223"/>
      <c r="H555" s="223"/>
    </row>
    <row r="556" spans="1:8">
      <c r="A556" s="223"/>
      <c r="B556" s="223"/>
      <c r="C556" s="223"/>
      <c r="D556" s="223"/>
      <c r="E556" s="223"/>
      <c r="F556" s="223"/>
      <c r="G556" s="223"/>
      <c r="H556" s="223"/>
    </row>
    <row r="557" spans="1:8">
      <c r="A557" s="223"/>
      <c r="B557" s="223"/>
      <c r="C557" s="223"/>
      <c r="D557" s="223"/>
      <c r="E557" s="223"/>
      <c r="F557" s="223"/>
      <c r="G557" s="223"/>
      <c r="H557" s="223"/>
    </row>
    <row r="558" spans="1:8">
      <c r="A558" s="223"/>
      <c r="B558" s="223"/>
      <c r="C558" s="223"/>
      <c r="D558" s="223"/>
      <c r="E558" s="223"/>
      <c r="F558" s="223"/>
      <c r="G558" s="223"/>
      <c r="H558" s="223"/>
    </row>
    <row r="559" spans="1:8">
      <c r="A559" s="223"/>
      <c r="B559" s="223"/>
      <c r="C559" s="223"/>
      <c r="D559" s="223"/>
      <c r="E559" s="223"/>
      <c r="F559" s="223"/>
      <c r="G559" s="223"/>
      <c r="H559" s="223"/>
    </row>
    <row r="560" spans="1:8">
      <c r="A560" s="223"/>
      <c r="B560" s="223"/>
      <c r="C560" s="223"/>
      <c r="D560" s="223"/>
      <c r="E560" s="223"/>
      <c r="F560" s="223"/>
      <c r="G560" s="223"/>
      <c r="H560" s="223"/>
    </row>
    <row r="561" spans="1:8">
      <c r="A561" s="223"/>
      <c r="B561" s="223"/>
      <c r="C561" s="223"/>
      <c r="D561" s="223"/>
      <c r="E561" s="223"/>
      <c r="F561" s="223"/>
      <c r="G561" s="223"/>
      <c r="H561" s="223"/>
    </row>
    <row r="562" spans="1:8">
      <c r="A562" s="223"/>
      <c r="B562" s="223"/>
      <c r="C562" s="223"/>
      <c r="D562" s="223"/>
      <c r="E562" s="223"/>
      <c r="F562" s="223"/>
      <c r="G562" s="223"/>
      <c r="H562" s="223"/>
    </row>
    <row r="563" spans="1:8">
      <c r="A563" s="223"/>
      <c r="B563" s="223"/>
      <c r="C563" s="223"/>
      <c r="D563" s="223"/>
      <c r="E563" s="223"/>
      <c r="F563" s="223"/>
      <c r="G563" s="223"/>
      <c r="H563" s="223"/>
    </row>
    <row r="564" spans="1:8">
      <c r="A564" s="223"/>
      <c r="B564" s="223"/>
      <c r="C564" s="223"/>
      <c r="D564" s="223"/>
      <c r="E564" s="223"/>
      <c r="F564" s="223"/>
      <c r="G564" s="223"/>
      <c r="H564" s="223"/>
    </row>
    <row r="565" spans="1:8">
      <c r="A565" s="223"/>
      <c r="B565" s="223"/>
      <c r="C565" s="223"/>
      <c r="D565" s="223"/>
      <c r="E565" s="223"/>
      <c r="F565" s="223"/>
      <c r="G565" s="223"/>
      <c r="H565" s="223"/>
    </row>
    <row r="566" spans="1:8">
      <c r="A566" s="223"/>
      <c r="B566" s="223"/>
      <c r="C566" s="223"/>
      <c r="D566" s="223"/>
      <c r="E566" s="223"/>
      <c r="F566" s="223"/>
      <c r="G566" s="223"/>
      <c r="H566" s="223"/>
    </row>
    <row r="567" spans="1:8">
      <c r="A567" s="223"/>
      <c r="B567" s="223"/>
      <c r="C567" s="223"/>
      <c r="D567" s="223"/>
      <c r="E567" s="223"/>
      <c r="F567" s="223"/>
      <c r="G567" s="223"/>
      <c r="H567" s="223"/>
    </row>
    <row r="568" spans="1:8">
      <c r="A568" s="223"/>
      <c r="B568" s="223"/>
      <c r="C568" s="223"/>
      <c r="D568" s="223"/>
      <c r="E568" s="223"/>
      <c r="F568" s="223"/>
      <c r="G568" s="223"/>
      <c r="H568" s="223"/>
    </row>
    <row r="569" spans="1:8">
      <c r="A569" s="223"/>
      <c r="B569" s="223"/>
      <c r="C569" s="223"/>
      <c r="D569" s="223"/>
      <c r="E569" s="223"/>
      <c r="F569" s="223"/>
      <c r="G569" s="223"/>
      <c r="H569" s="223"/>
    </row>
    <row r="570" spans="1:8">
      <c r="A570" s="223"/>
      <c r="B570" s="223"/>
      <c r="C570" s="223"/>
      <c r="D570" s="223"/>
      <c r="E570" s="223"/>
      <c r="F570" s="223"/>
      <c r="G570" s="223"/>
      <c r="H570" s="223"/>
    </row>
    <row r="571" spans="1:8">
      <c r="A571" s="223"/>
      <c r="B571" s="223"/>
      <c r="C571" s="223"/>
      <c r="D571" s="223"/>
      <c r="E571" s="223"/>
      <c r="F571" s="223"/>
      <c r="G571" s="223"/>
      <c r="H571" s="223"/>
    </row>
    <row r="572" spans="1:8">
      <c r="A572" s="223"/>
      <c r="B572" s="223"/>
      <c r="C572" s="223"/>
      <c r="D572" s="223"/>
      <c r="E572" s="223"/>
      <c r="F572" s="223"/>
      <c r="G572" s="223"/>
      <c r="H572" s="223"/>
    </row>
    <row r="573" spans="1:8">
      <c r="A573" s="223"/>
      <c r="B573" s="223"/>
      <c r="C573" s="223"/>
      <c r="D573" s="223"/>
      <c r="E573" s="223"/>
      <c r="F573" s="223"/>
      <c r="G573" s="223"/>
      <c r="H573" s="223"/>
    </row>
    <row r="574" spans="1:8">
      <c r="A574" s="223"/>
      <c r="B574" s="223"/>
      <c r="C574" s="223"/>
      <c r="D574" s="223"/>
      <c r="E574" s="223"/>
      <c r="F574" s="223"/>
      <c r="G574" s="223"/>
      <c r="H574" s="223"/>
    </row>
    <row r="575" spans="1:8">
      <c r="A575" s="223"/>
      <c r="B575" s="223"/>
      <c r="C575" s="223"/>
      <c r="D575" s="223"/>
      <c r="E575" s="223"/>
      <c r="F575" s="223"/>
      <c r="G575" s="223"/>
      <c r="H575" s="223"/>
    </row>
    <row r="576" spans="1:8">
      <c r="A576" s="223"/>
      <c r="B576" s="223"/>
      <c r="C576" s="223"/>
      <c r="D576" s="223"/>
      <c r="E576" s="223"/>
      <c r="F576" s="223"/>
      <c r="G576" s="223"/>
      <c r="H576" s="223"/>
    </row>
    <row r="577" spans="1:8">
      <c r="A577" s="223"/>
      <c r="B577" s="223"/>
      <c r="C577" s="223"/>
      <c r="D577" s="223"/>
      <c r="E577" s="223"/>
      <c r="F577" s="223"/>
      <c r="G577" s="223"/>
      <c r="H577" s="223"/>
    </row>
    <row r="578" spans="1:8">
      <c r="A578" s="223"/>
      <c r="B578" s="223"/>
      <c r="C578" s="223"/>
      <c r="D578" s="223"/>
      <c r="E578" s="223"/>
      <c r="F578" s="223"/>
      <c r="G578" s="223"/>
      <c r="H578" s="223"/>
    </row>
    <row r="579" spans="1:8">
      <c r="A579" s="223"/>
      <c r="B579" s="223"/>
      <c r="C579" s="223"/>
      <c r="D579" s="223"/>
      <c r="E579" s="223"/>
      <c r="F579" s="223"/>
      <c r="G579" s="223"/>
      <c r="H579" s="223"/>
    </row>
    <row r="580" spans="1:8">
      <c r="A580" s="223"/>
      <c r="B580" s="223"/>
      <c r="C580" s="223"/>
      <c r="D580" s="223"/>
      <c r="E580" s="223"/>
      <c r="F580" s="223"/>
      <c r="G580" s="223"/>
      <c r="H580" s="223"/>
    </row>
    <row r="581" spans="1:8">
      <c r="A581" s="223"/>
      <c r="B581" s="223"/>
      <c r="C581" s="223"/>
      <c r="D581" s="223"/>
      <c r="E581" s="223"/>
      <c r="F581" s="223"/>
      <c r="G581" s="223"/>
      <c r="H581" s="223"/>
    </row>
    <row r="582" spans="1:8">
      <c r="A582" s="223"/>
      <c r="B582" s="223"/>
      <c r="C582" s="223"/>
      <c r="D582" s="223"/>
      <c r="E582" s="223"/>
      <c r="F582" s="223"/>
      <c r="G582" s="223"/>
      <c r="H582" s="223"/>
    </row>
    <row r="583" spans="1:8">
      <c r="A583" s="223"/>
      <c r="B583" s="223"/>
      <c r="C583" s="223"/>
      <c r="D583" s="223"/>
      <c r="E583" s="223"/>
      <c r="F583" s="223"/>
      <c r="G583" s="223"/>
      <c r="H583" s="223"/>
    </row>
    <row r="584" spans="1:8">
      <c r="A584" s="223"/>
      <c r="B584" s="223"/>
      <c r="C584" s="223"/>
      <c r="D584" s="223"/>
      <c r="E584" s="223"/>
      <c r="F584" s="223"/>
      <c r="G584" s="223"/>
      <c r="H584" s="223"/>
    </row>
    <row r="585" spans="1:8">
      <c r="A585" s="223"/>
      <c r="B585" s="223"/>
      <c r="C585" s="223"/>
      <c r="D585" s="223"/>
      <c r="E585" s="223"/>
      <c r="F585" s="223"/>
      <c r="G585" s="223"/>
      <c r="H585" s="223"/>
    </row>
    <row r="586" spans="1:8">
      <c r="A586" s="223"/>
      <c r="B586" s="223"/>
      <c r="C586" s="223"/>
      <c r="D586" s="223"/>
      <c r="E586" s="223"/>
      <c r="F586" s="223"/>
      <c r="G586" s="223"/>
      <c r="H586" s="223"/>
    </row>
    <row r="587" spans="1:8">
      <c r="A587" s="223"/>
      <c r="B587" s="223"/>
      <c r="C587" s="223"/>
      <c r="D587" s="223"/>
      <c r="E587" s="223"/>
      <c r="F587" s="223"/>
      <c r="G587" s="223"/>
      <c r="H587" s="223"/>
    </row>
    <row r="588" spans="1:8">
      <c r="A588" s="223"/>
      <c r="B588" s="223"/>
      <c r="C588" s="223"/>
      <c r="D588" s="223"/>
      <c r="E588" s="223"/>
      <c r="F588" s="223"/>
      <c r="G588" s="223"/>
      <c r="H588" s="223"/>
    </row>
    <row r="589" spans="1:8">
      <c r="A589" s="223"/>
      <c r="B589" s="223"/>
      <c r="C589" s="223"/>
      <c r="D589" s="223"/>
      <c r="E589" s="223"/>
      <c r="F589" s="223"/>
      <c r="G589" s="223"/>
      <c r="H589" s="223"/>
    </row>
    <row r="590" spans="1:8">
      <c r="A590" s="223"/>
      <c r="B590" s="223"/>
      <c r="C590" s="223"/>
      <c r="D590" s="223"/>
      <c r="E590" s="223"/>
      <c r="F590" s="223"/>
      <c r="G590" s="223"/>
      <c r="H590" s="223"/>
    </row>
    <row r="591" spans="1:8">
      <c r="A591" s="223"/>
      <c r="B591" s="223"/>
      <c r="C591" s="223"/>
      <c r="D591" s="223"/>
      <c r="E591" s="223"/>
      <c r="F591" s="223"/>
      <c r="G591" s="223"/>
      <c r="H591" s="223"/>
    </row>
    <row r="592" spans="1:8">
      <c r="A592" s="223"/>
      <c r="B592" s="223"/>
      <c r="C592" s="223"/>
      <c r="D592" s="223"/>
      <c r="E592" s="223"/>
      <c r="F592" s="223"/>
      <c r="G592" s="223"/>
      <c r="H592" s="223"/>
    </row>
    <row r="593" spans="1:8">
      <c r="A593" s="223"/>
      <c r="B593" s="223"/>
      <c r="C593" s="223"/>
      <c r="D593" s="223"/>
      <c r="E593" s="223"/>
      <c r="F593" s="223"/>
      <c r="G593" s="223"/>
      <c r="H593" s="223"/>
    </row>
    <row r="594" spans="1:8">
      <c r="A594" s="223"/>
      <c r="B594" s="223"/>
      <c r="C594" s="223"/>
      <c r="D594" s="223"/>
      <c r="E594" s="223"/>
      <c r="F594" s="223"/>
      <c r="G594" s="223"/>
      <c r="H594" s="223"/>
    </row>
    <row r="595" spans="1:8">
      <c r="A595" s="223"/>
      <c r="B595" s="223"/>
      <c r="C595" s="223"/>
      <c r="D595" s="223"/>
      <c r="E595" s="223"/>
      <c r="F595" s="223"/>
      <c r="G595" s="223"/>
      <c r="H595" s="223"/>
    </row>
    <row r="596" spans="1:8">
      <c r="A596" s="223"/>
      <c r="B596" s="223"/>
      <c r="C596" s="223"/>
      <c r="D596" s="223"/>
      <c r="E596" s="223"/>
      <c r="F596" s="223"/>
      <c r="G596" s="223"/>
      <c r="H596" s="223"/>
    </row>
    <row r="597" spans="1:8">
      <c r="A597" s="223"/>
      <c r="B597" s="223"/>
      <c r="C597" s="223"/>
      <c r="D597" s="223"/>
      <c r="E597" s="223"/>
      <c r="F597" s="223"/>
      <c r="G597" s="223"/>
      <c r="H597" s="223"/>
    </row>
    <row r="598" spans="1:8">
      <c r="A598" s="223"/>
      <c r="B598" s="223"/>
      <c r="C598" s="223"/>
      <c r="D598" s="223"/>
      <c r="E598" s="223"/>
      <c r="F598" s="223"/>
      <c r="G598" s="223"/>
      <c r="H598" s="223"/>
    </row>
    <row r="599" spans="1:8">
      <c r="A599" s="223"/>
      <c r="B599" s="223"/>
      <c r="C599" s="223"/>
      <c r="D599" s="223"/>
      <c r="E599" s="223"/>
      <c r="F599" s="223"/>
      <c r="G599" s="223"/>
      <c r="H599" s="223"/>
    </row>
    <row r="600" spans="1:8">
      <c r="A600" s="223"/>
      <c r="B600" s="223"/>
      <c r="C600" s="223"/>
      <c r="D600" s="223"/>
      <c r="E600" s="223"/>
      <c r="F600" s="223"/>
      <c r="G600" s="223"/>
      <c r="H600" s="223"/>
    </row>
    <row r="601" spans="1:8">
      <c r="A601" s="223"/>
      <c r="B601" s="223"/>
      <c r="C601" s="223"/>
      <c r="D601" s="223"/>
      <c r="E601" s="223"/>
      <c r="F601" s="223"/>
      <c r="G601" s="223"/>
      <c r="H601" s="223"/>
    </row>
    <row r="602" spans="1:8">
      <c r="A602" s="223"/>
      <c r="B602" s="223"/>
      <c r="C602" s="223"/>
      <c r="D602" s="223"/>
      <c r="E602" s="223"/>
      <c r="F602" s="223"/>
      <c r="G602" s="223"/>
      <c r="H602" s="223"/>
    </row>
    <row r="603" spans="1:8">
      <c r="A603" s="223"/>
      <c r="B603" s="223"/>
      <c r="C603" s="223"/>
      <c r="D603" s="223"/>
      <c r="E603" s="223"/>
      <c r="F603" s="223"/>
      <c r="G603" s="223"/>
      <c r="H603" s="223"/>
    </row>
    <row r="604" spans="1:8">
      <c r="A604" s="223"/>
      <c r="B604" s="223"/>
      <c r="C604" s="223"/>
      <c r="D604" s="223"/>
      <c r="E604" s="223"/>
      <c r="F604" s="223"/>
      <c r="G604" s="223"/>
      <c r="H604" s="223"/>
    </row>
    <row r="605" spans="1:8">
      <c r="A605" s="223"/>
      <c r="B605" s="223"/>
      <c r="C605" s="223"/>
      <c r="D605" s="223"/>
      <c r="E605" s="223"/>
      <c r="F605" s="223"/>
      <c r="G605" s="223"/>
      <c r="H605" s="223"/>
    </row>
    <row r="606" spans="1:8">
      <c r="A606" s="223"/>
      <c r="B606" s="223"/>
      <c r="C606" s="223"/>
      <c r="D606" s="223"/>
      <c r="E606" s="223"/>
      <c r="F606" s="223"/>
      <c r="G606" s="223"/>
      <c r="H606" s="223"/>
    </row>
    <row r="607" spans="1:8">
      <c r="A607" s="223"/>
      <c r="B607" s="223"/>
      <c r="C607" s="223"/>
      <c r="D607" s="223"/>
      <c r="E607" s="223"/>
      <c r="F607" s="223"/>
      <c r="G607" s="223"/>
      <c r="H607" s="223"/>
    </row>
    <row r="608" spans="1:8">
      <c r="A608" s="223"/>
      <c r="B608" s="223"/>
      <c r="C608" s="223"/>
      <c r="D608" s="223"/>
      <c r="E608" s="223"/>
      <c r="F608" s="223"/>
      <c r="G608" s="223"/>
      <c r="H608" s="223"/>
    </row>
    <row r="609" spans="1:8">
      <c r="A609" s="223"/>
      <c r="B609" s="223"/>
      <c r="C609" s="223"/>
      <c r="D609" s="223"/>
      <c r="E609" s="223"/>
      <c r="F609" s="223"/>
      <c r="G609" s="223"/>
      <c r="H609" s="223"/>
    </row>
    <row r="610" spans="1:8">
      <c r="A610" s="223"/>
      <c r="B610" s="223"/>
      <c r="C610" s="223"/>
      <c r="D610" s="223"/>
      <c r="E610" s="223"/>
      <c r="F610" s="223"/>
      <c r="G610" s="223"/>
      <c r="H610" s="223"/>
    </row>
    <row r="611" spans="1:8">
      <c r="A611" s="223"/>
      <c r="B611" s="223"/>
      <c r="C611" s="223"/>
      <c r="D611" s="223"/>
      <c r="E611" s="223"/>
      <c r="F611" s="223"/>
      <c r="G611" s="223"/>
      <c r="H611" s="223"/>
    </row>
    <row r="612" spans="1:8">
      <c r="A612" s="223"/>
      <c r="B612" s="223"/>
      <c r="C612" s="223"/>
      <c r="D612" s="223"/>
      <c r="E612" s="223"/>
      <c r="F612" s="223"/>
      <c r="G612" s="223"/>
      <c r="H612" s="223"/>
    </row>
    <row r="613" spans="1:8">
      <c r="A613" s="223"/>
      <c r="B613" s="223"/>
      <c r="C613" s="223"/>
      <c r="D613" s="223"/>
      <c r="E613" s="223"/>
      <c r="F613" s="223"/>
      <c r="G613" s="223"/>
      <c r="H613" s="223"/>
    </row>
    <row r="614" spans="1:8">
      <c r="A614" s="223"/>
      <c r="B614" s="223"/>
      <c r="C614" s="223"/>
      <c r="D614" s="223"/>
      <c r="E614" s="223"/>
      <c r="F614" s="223"/>
      <c r="G614" s="223"/>
      <c r="H614" s="223"/>
    </row>
    <row r="615" spans="1:8">
      <c r="A615" s="223"/>
      <c r="B615" s="223"/>
      <c r="C615" s="223"/>
      <c r="D615" s="223"/>
      <c r="E615" s="223"/>
      <c r="F615" s="223"/>
      <c r="G615" s="223"/>
      <c r="H615" s="223"/>
    </row>
    <row r="616" spans="1:8">
      <c r="A616" s="223"/>
      <c r="B616" s="223"/>
      <c r="C616" s="223"/>
      <c r="D616" s="223"/>
      <c r="E616" s="223"/>
      <c r="F616" s="223"/>
      <c r="G616" s="223"/>
      <c r="H616" s="223"/>
    </row>
    <row r="617" spans="1:8">
      <c r="A617" s="223"/>
      <c r="B617" s="223"/>
      <c r="C617" s="223"/>
      <c r="D617" s="223"/>
      <c r="E617" s="223"/>
      <c r="F617" s="223"/>
      <c r="G617" s="223"/>
      <c r="H617" s="223"/>
    </row>
    <row r="618" spans="1:8">
      <c r="A618" s="223"/>
      <c r="B618" s="223"/>
      <c r="C618" s="223"/>
      <c r="D618" s="223"/>
      <c r="E618" s="223"/>
      <c r="F618" s="223"/>
      <c r="G618" s="223"/>
      <c r="H618" s="223"/>
    </row>
    <row r="619" spans="1:8">
      <c r="A619" s="223"/>
      <c r="B619" s="223"/>
      <c r="C619" s="223"/>
      <c r="D619" s="223"/>
      <c r="E619" s="223"/>
      <c r="F619" s="223"/>
      <c r="G619" s="223"/>
      <c r="H619" s="223"/>
    </row>
    <row r="620" spans="1:8">
      <c r="A620" s="223"/>
      <c r="B620" s="223"/>
      <c r="C620" s="223"/>
      <c r="D620" s="223"/>
      <c r="E620" s="223"/>
      <c r="F620" s="223"/>
      <c r="G620" s="223"/>
      <c r="H620" s="223"/>
    </row>
    <row r="621" spans="1:8">
      <c r="A621" s="223"/>
      <c r="B621" s="223"/>
      <c r="C621" s="223"/>
      <c r="D621" s="223"/>
      <c r="E621" s="223"/>
      <c r="F621" s="223"/>
      <c r="G621" s="223"/>
      <c r="H621" s="223"/>
    </row>
    <row r="622" spans="1:8">
      <c r="A622" s="223"/>
      <c r="B622" s="223"/>
      <c r="C622" s="223"/>
      <c r="D622" s="223"/>
      <c r="E622" s="223"/>
      <c r="F622" s="223"/>
      <c r="G622" s="223"/>
      <c r="H622" s="223"/>
    </row>
    <row r="623" spans="1:8">
      <c r="A623" s="223"/>
      <c r="B623" s="223"/>
      <c r="C623" s="223"/>
      <c r="D623" s="223"/>
      <c r="E623" s="223"/>
      <c r="F623" s="223"/>
      <c r="G623" s="223"/>
      <c r="H623" s="223"/>
    </row>
    <row r="624" spans="1:8">
      <c r="A624" s="223"/>
      <c r="B624" s="223"/>
      <c r="C624" s="223"/>
      <c r="D624" s="223"/>
      <c r="E624" s="223"/>
      <c r="F624" s="223"/>
      <c r="G624" s="223"/>
      <c r="H624" s="223"/>
    </row>
    <row r="625" spans="1:8">
      <c r="A625" s="223"/>
      <c r="B625" s="223"/>
      <c r="C625" s="223"/>
      <c r="D625" s="223"/>
      <c r="E625" s="223"/>
      <c r="F625" s="223"/>
      <c r="G625" s="223"/>
      <c r="H625" s="223"/>
    </row>
    <row r="626" spans="1:8">
      <c r="A626" s="223"/>
      <c r="B626" s="223"/>
      <c r="C626" s="223"/>
      <c r="D626" s="223"/>
      <c r="E626" s="223"/>
      <c r="F626" s="223"/>
      <c r="G626" s="223"/>
      <c r="H626" s="223"/>
    </row>
    <row r="627" spans="1:8">
      <c r="A627" s="223"/>
      <c r="B627" s="223"/>
      <c r="C627" s="223"/>
      <c r="D627" s="223"/>
      <c r="E627" s="223"/>
      <c r="F627" s="223"/>
      <c r="G627" s="223"/>
      <c r="H627" s="223"/>
    </row>
    <row r="628" spans="1:8">
      <c r="A628" s="223"/>
      <c r="B628" s="223"/>
      <c r="C628" s="223"/>
      <c r="D628" s="223"/>
      <c r="E628" s="223"/>
      <c r="F628" s="223"/>
      <c r="G628" s="223"/>
      <c r="H628" s="223"/>
    </row>
    <row r="629" spans="1:8">
      <c r="A629" s="223"/>
      <c r="B629" s="223"/>
      <c r="C629" s="223"/>
      <c r="D629" s="223"/>
      <c r="E629" s="223"/>
      <c r="F629" s="223"/>
      <c r="G629" s="223"/>
      <c r="H629" s="223"/>
    </row>
    <row r="630" spans="1:8">
      <c r="A630" s="223"/>
      <c r="B630" s="223"/>
      <c r="C630" s="223"/>
      <c r="D630" s="223"/>
      <c r="E630" s="223"/>
      <c r="F630" s="223"/>
      <c r="G630" s="223"/>
      <c r="H630" s="223"/>
    </row>
    <row r="631" spans="1:8">
      <c r="A631" s="223"/>
      <c r="B631" s="223"/>
      <c r="C631" s="223"/>
      <c r="D631" s="223"/>
      <c r="E631" s="223"/>
      <c r="F631" s="223"/>
      <c r="G631" s="223"/>
      <c r="H631" s="223"/>
    </row>
    <row r="632" spans="1:8">
      <c r="A632" s="223"/>
      <c r="B632" s="223"/>
      <c r="C632" s="223"/>
      <c r="D632" s="223"/>
      <c r="E632" s="223"/>
      <c r="F632" s="223"/>
      <c r="G632" s="223"/>
      <c r="H632" s="223"/>
    </row>
    <row r="633" spans="1:8">
      <c r="A633" s="223"/>
      <c r="B633" s="223"/>
      <c r="C633" s="223"/>
      <c r="D633" s="223"/>
      <c r="E633" s="223"/>
      <c r="F633" s="223"/>
      <c r="G633" s="223"/>
      <c r="H633" s="223"/>
    </row>
    <row r="634" spans="1:8">
      <c r="A634" s="223"/>
      <c r="B634" s="223"/>
      <c r="C634" s="223"/>
      <c r="D634" s="223"/>
      <c r="E634" s="223"/>
      <c r="F634" s="223"/>
      <c r="G634" s="223"/>
      <c r="H634" s="223"/>
    </row>
    <row r="635" spans="1:8">
      <c r="A635" s="223"/>
      <c r="B635" s="223"/>
      <c r="C635" s="223"/>
      <c r="D635" s="223"/>
      <c r="E635" s="223"/>
      <c r="F635" s="223"/>
      <c r="G635" s="223"/>
      <c r="H635" s="223"/>
    </row>
    <row r="636" spans="1:8">
      <c r="A636" s="223"/>
      <c r="B636" s="223"/>
      <c r="C636" s="223"/>
      <c r="D636" s="223"/>
      <c r="E636" s="223"/>
      <c r="F636" s="223"/>
      <c r="G636" s="223"/>
      <c r="H636" s="223"/>
    </row>
    <row r="637" spans="1:8">
      <c r="A637" s="223"/>
      <c r="B637" s="223"/>
      <c r="C637" s="223"/>
      <c r="D637" s="223"/>
      <c r="E637" s="223"/>
      <c r="F637" s="223"/>
      <c r="G637" s="223"/>
      <c r="H637" s="223"/>
    </row>
    <row r="638" spans="1:8">
      <c r="A638" s="223"/>
      <c r="B638" s="223"/>
      <c r="C638" s="223"/>
      <c r="D638" s="223"/>
      <c r="E638" s="223"/>
      <c r="F638" s="223"/>
      <c r="G638" s="223"/>
      <c r="H638" s="223"/>
    </row>
    <row r="639" spans="1:8">
      <c r="A639" s="223"/>
      <c r="B639" s="223"/>
      <c r="C639" s="223"/>
      <c r="D639" s="223"/>
      <c r="E639" s="223"/>
      <c r="F639" s="223"/>
      <c r="G639" s="223"/>
      <c r="H639" s="223"/>
    </row>
    <row r="640" spans="1:8">
      <c r="A640" s="223"/>
      <c r="B640" s="223"/>
      <c r="C640" s="223"/>
      <c r="D640" s="223"/>
      <c r="E640" s="223"/>
      <c r="F640" s="223"/>
      <c r="G640" s="223"/>
      <c r="H640" s="223"/>
    </row>
    <row r="641" spans="1:8">
      <c r="A641" s="223"/>
      <c r="B641" s="223"/>
      <c r="C641" s="223"/>
      <c r="D641" s="223"/>
      <c r="E641" s="223"/>
      <c r="F641" s="223"/>
      <c r="G641" s="223"/>
      <c r="H641" s="223"/>
    </row>
    <row r="642" spans="1:8">
      <c r="A642" s="223"/>
      <c r="B642" s="223"/>
      <c r="C642" s="223"/>
      <c r="D642" s="223"/>
      <c r="E642" s="223"/>
      <c r="F642" s="223"/>
      <c r="G642" s="223"/>
      <c r="H642" s="223"/>
    </row>
    <row r="643" spans="1:8">
      <c r="A643" s="223"/>
      <c r="B643" s="223"/>
      <c r="C643" s="223"/>
      <c r="D643" s="223"/>
      <c r="E643" s="223"/>
      <c r="F643" s="223"/>
      <c r="G643" s="223"/>
      <c r="H643" s="223"/>
    </row>
    <row r="644" spans="1:8">
      <c r="A644" s="223"/>
      <c r="B644" s="223"/>
      <c r="C644" s="223"/>
      <c r="D644" s="223"/>
      <c r="E644" s="223"/>
      <c r="F644" s="223"/>
      <c r="G644" s="223"/>
      <c r="H644" s="223"/>
    </row>
    <row r="645" spans="1:8">
      <c r="A645" s="223"/>
      <c r="B645" s="223"/>
      <c r="C645" s="223"/>
      <c r="D645" s="223"/>
      <c r="E645" s="223"/>
      <c r="F645" s="223"/>
      <c r="G645" s="223"/>
      <c r="H645" s="223"/>
    </row>
    <row r="646" spans="1:8">
      <c r="A646" s="223"/>
      <c r="B646" s="223"/>
      <c r="C646" s="223"/>
      <c r="D646" s="223"/>
      <c r="E646" s="223"/>
      <c r="F646" s="223"/>
      <c r="G646" s="223"/>
      <c r="H646" s="223"/>
    </row>
    <row r="647" spans="1:8">
      <c r="A647" s="223"/>
      <c r="B647" s="223"/>
      <c r="C647" s="223"/>
      <c r="D647" s="223"/>
      <c r="E647" s="223"/>
      <c r="F647" s="223"/>
      <c r="G647" s="223"/>
      <c r="H647" s="223"/>
    </row>
    <row r="648" spans="1:8">
      <c r="A648" s="223"/>
      <c r="B648" s="223"/>
      <c r="C648" s="223"/>
      <c r="D648" s="223"/>
      <c r="E648" s="223"/>
      <c r="F648" s="223"/>
      <c r="G648" s="223"/>
      <c r="H648" s="223"/>
    </row>
    <row r="649" spans="1:8">
      <c r="A649" s="223"/>
      <c r="B649" s="223"/>
      <c r="C649" s="223"/>
      <c r="D649" s="223"/>
      <c r="E649" s="223"/>
      <c r="F649" s="223"/>
      <c r="G649" s="223"/>
      <c r="H649" s="223"/>
    </row>
    <row r="650" spans="1:8">
      <c r="A650" s="223"/>
      <c r="B650" s="223"/>
      <c r="C650" s="223"/>
      <c r="D650" s="223"/>
      <c r="E650" s="223"/>
      <c r="F650" s="223"/>
      <c r="G650" s="223"/>
      <c r="H650" s="223"/>
    </row>
    <row r="651" spans="1:8">
      <c r="A651" s="223"/>
      <c r="B651" s="223"/>
      <c r="C651" s="223"/>
      <c r="D651" s="223"/>
      <c r="E651" s="223"/>
      <c r="F651" s="223"/>
      <c r="G651" s="223"/>
      <c r="H651" s="223"/>
    </row>
    <row r="652" spans="1:8">
      <c r="A652" s="223"/>
      <c r="B652" s="223"/>
      <c r="C652" s="223"/>
      <c r="D652" s="223"/>
      <c r="E652" s="223"/>
      <c r="F652" s="223"/>
      <c r="G652" s="223"/>
      <c r="H652" s="223"/>
    </row>
    <row r="653" spans="1:8">
      <c r="A653" s="223"/>
      <c r="B653" s="223"/>
      <c r="C653" s="223"/>
      <c r="D653" s="223"/>
      <c r="E653" s="223"/>
      <c r="F653" s="223"/>
      <c r="G653" s="223"/>
      <c r="H653" s="223"/>
    </row>
    <row r="654" spans="1:8">
      <c r="A654" s="223"/>
      <c r="B654" s="223"/>
      <c r="C654" s="223"/>
      <c r="D654" s="223"/>
      <c r="E654" s="223"/>
      <c r="F654" s="223"/>
      <c r="G654" s="223"/>
      <c r="H654" s="223"/>
    </row>
    <row r="655" spans="1:8">
      <c r="A655" s="223"/>
      <c r="B655" s="223"/>
      <c r="C655" s="223"/>
      <c r="D655" s="223"/>
      <c r="E655" s="223"/>
      <c r="F655" s="223"/>
      <c r="G655" s="223"/>
      <c r="H655" s="223"/>
    </row>
    <row r="656" spans="1:8">
      <c r="A656" s="223"/>
      <c r="B656" s="223"/>
      <c r="C656" s="223"/>
      <c r="D656" s="223"/>
      <c r="E656" s="223"/>
      <c r="F656" s="223"/>
      <c r="G656" s="223"/>
      <c r="H656" s="223"/>
    </row>
    <row r="657" spans="1:8">
      <c r="A657" s="223"/>
      <c r="B657" s="223"/>
      <c r="C657" s="223"/>
      <c r="D657" s="223"/>
      <c r="E657" s="223"/>
      <c r="F657" s="223"/>
      <c r="G657" s="223"/>
      <c r="H657" s="223"/>
    </row>
    <row r="658" spans="1:8">
      <c r="A658" s="223"/>
      <c r="B658" s="223"/>
      <c r="C658" s="223"/>
      <c r="D658" s="223"/>
      <c r="E658" s="223"/>
      <c r="F658" s="223"/>
      <c r="G658" s="223"/>
      <c r="H658" s="223"/>
    </row>
    <row r="659" spans="1:8">
      <c r="A659" s="223"/>
      <c r="B659" s="223"/>
      <c r="C659" s="223"/>
      <c r="D659" s="223"/>
      <c r="E659" s="223"/>
      <c r="F659" s="223"/>
      <c r="G659" s="223"/>
      <c r="H659" s="223"/>
    </row>
    <row r="660" spans="1:8">
      <c r="A660" s="223"/>
      <c r="B660" s="223"/>
      <c r="C660" s="223"/>
      <c r="D660" s="223"/>
      <c r="E660" s="223"/>
      <c r="F660" s="223"/>
      <c r="G660" s="223"/>
      <c r="H660" s="223"/>
    </row>
    <row r="661" spans="1:8">
      <c r="A661" s="223"/>
      <c r="B661" s="223"/>
      <c r="C661" s="223"/>
      <c r="D661" s="223"/>
      <c r="E661" s="223"/>
      <c r="F661" s="223"/>
      <c r="G661" s="223"/>
      <c r="H661" s="223"/>
    </row>
    <row r="662" spans="1:8">
      <c r="A662" s="223"/>
      <c r="B662" s="223"/>
      <c r="C662" s="223"/>
      <c r="D662" s="223"/>
      <c r="E662" s="223"/>
      <c r="F662" s="223"/>
      <c r="G662" s="223"/>
      <c r="H662" s="223"/>
    </row>
    <row r="663" spans="1:8">
      <c r="A663" s="223"/>
      <c r="B663" s="223"/>
      <c r="C663" s="223"/>
      <c r="D663" s="223"/>
      <c r="E663" s="223"/>
      <c r="F663" s="223"/>
      <c r="G663" s="223"/>
      <c r="H663" s="223"/>
    </row>
    <row r="664" spans="1:8">
      <c r="A664" s="223"/>
      <c r="B664" s="223"/>
      <c r="C664" s="223"/>
      <c r="D664" s="223"/>
      <c r="E664" s="223"/>
      <c r="F664" s="223"/>
      <c r="G664" s="223"/>
      <c r="H664" s="223"/>
    </row>
    <row r="665" spans="1:8">
      <c r="A665" s="223"/>
      <c r="B665" s="223"/>
      <c r="C665" s="223"/>
      <c r="D665" s="223"/>
      <c r="E665" s="223"/>
      <c r="F665" s="223"/>
      <c r="G665" s="223"/>
      <c r="H665" s="223"/>
    </row>
    <row r="666" spans="1:8">
      <c r="A666" s="223"/>
      <c r="B666" s="223"/>
      <c r="C666" s="223"/>
      <c r="D666" s="223"/>
      <c r="E666" s="223"/>
      <c r="F666" s="223"/>
      <c r="G666" s="223"/>
      <c r="H666" s="223"/>
    </row>
    <row r="667" spans="1:8">
      <c r="A667" s="223"/>
      <c r="B667" s="223"/>
      <c r="C667" s="223"/>
      <c r="D667" s="223"/>
      <c r="E667" s="223"/>
      <c r="F667" s="223"/>
      <c r="G667" s="223"/>
      <c r="H667" s="223"/>
    </row>
    <row r="668" spans="1:8">
      <c r="A668" s="223"/>
      <c r="B668" s="223"/>
      <c r="C668" s="223"/>
      <c r="D668" s="223"/>
      <c r="E668" s="223"/>
      <c r="F668" s="223"/>
      <c r="G668" s="223"/>
      <c r="H668" s="223"/>
    </row>
    <row r="669" spans="1:8">
      <c r="A669" s="223"/>
      <c r="B669" s="223"/>
      <c r="C669" s="223"/>
      <c r="D669" s="223"/>
      <c r="E669" s="223"/>
      <c r="F669" s="223"/>
      <c r="G669" s="223"/>
      <c r="H669" s="223"/>
    </row>
    <row r="670" spans="1:8">
      <c r="A670" s="223"/>
      <c r="B670" s="223"/>
      <c r="C670" s="223"/>
      <c r="D670" s="223"/>
      <c r="E670" s="223"/>
      <c r="F670" s="223"/>
      <c r="G670" s="223"/>
      <c r="H670" s="223"/>
    </row>
    <row r="671" spans="1:8">
      <c r="A671" s="223"/>
      <c r="B671" s="223"/>
      <c r="C671" s="223"/>
      <c r="D671" s="223"/>
      <c r="E671" s="223"/>
      <c r="F671" s="223"/>
      <c r="G671" s="223"/>
      <c r="H671" s="223"/>
    </row>
    <row r="672" spans="1:8">
      <c r="A672" s="223"/>
      <c r="B672" s="223"/>
      <c r="C672" s="223"/>
      <c r="D672" s="223"/>
      <c r="E672" s="223"/>
      <c r="F672" s="223"/>
      <c r="G672" s="223"/>
      <c r="H672" s="223"/>
    </row>
    <row r="673" spans="1:8">
      <c r="A673" s="223"/>
      <c r="B673" s="223"/>
      <c r="C673" s="223"/>
      <c r="D673" s="223"/>
      <c r="E673" s="223"/>
      <c r="F673" s="223"/>
      <c r="G673" s="223"/>
      <c r="H673" s="223"/>
    </row>
    <row r="674" spans="1:8">
      <c r="A674" s="223"/>
      <c r="B674" s="223"/>
      <c r="C674" s="223"/>
      <c r="D674" s="223"/>
      <c r="E674" s="223"/>
      <c r="F674" s="223"/>
      <c r="G674" s="223"/>
      <c r="H674" s="223"/>
    </row>
    <row r="675" spans="1:8">
      <c r="A675" s="223"/>
      <c r="B675" s="223"/>
      <c r="C675" s="223"/>
      <c r="D675" s="223"/>
      <c r="E675" s="223"/>
      <c r="F675" s="223"/>
      <c r="G675" s="223"/>
      <c r="H675" s="223"/>
    </row>
    <row r="676" spans="1:8">
      <c r="A676" s="223"/>
      <c r="B676" s="223"/>
      <c r="C676" s="223"/>
      <c r="D676" s="223"/>
      <c r="E676" s="223"/>
      <c r="F676" s="223"/>
      <c r="G676" s="223"/>
      <c r="H676" s="223"/>
    </row>
    <row r="677" spans="1:8">
      <c r="A677" s="223"/>
      <c r="B677" s="223"/>
      <c r="C677" s="223"/>
      <c r="D677" s="223"/>
      <c r="E677" s="223"/>
      <c r="F677" s="223"/>
      <c r="G677" s="223"/>
      <c r="H677" s="223"/>
    </row>
    <row r="678" spans="1:8">
      <c r="A678" s="223"/>
      <c r="B678" s="223"/>
      <c r="C678" s="223"/>
      <c r="D678" s="223"/>
      <c r="E678" s="223"/>
      <c r="F678" s="223"/>
      <c r="G678" s="223"/>
      <c r="H678" s="223"/>
    </row>
    <row r="679" spans="1:8">
      <c r="A679" s="223"/>
      <c r="B679" s="223"/>
      <c r="C679" s="223"/>
      <c r="D679" s="223"/>
      <c r="E679" s="223"/>
      <c r="F679" s="223"/>
      <c r="G679" s="223"/>
      <c r="H679" s="223"/>
    </row>
    <row r="680" spans="1:8">
      <c r="A680" s="223"/>
      <c r="B680" s="223"/>
      <c r="C680" s="223"/>
      <c r="D680" s="223"/>
      <c r="E680" s="223"/>
      <c r="F680" s="223"/>
      <c r="G680" s="223"/>
      <c r="H680" s="223"/>
    </row>
    <row r="681" spans="1:8">
      <c r="A681" s="223"/>
      <c r="B681" s="223"/>
      <c r="C681" s="223"/>
      <c r="D681" s="223"/>
      <c r="E681" s="223"/>
      <c r="F681" s="223"/>
      <c r="G681" s="223"/>
      <c r="H681" s="223"/>
    </row>
    <row r="682" spans="1:8">
      <c r="A682" s="223"/>
      <c r="B682" s="223"/>
      <c r="C682" s="223"/>
      <c r="D682" s="223"/>
      <c r="E682" s="223"/>
      <c r="F682" s="223"/>
      <c r="G682" s="223"/>
      <c r="H682" s="223"/>
    </row>
    <row r="683" spans="1:8">
      <c r="A683" s="223"/>
      <c r="B683" s="223"/>
      <c r="C683" s="223"/>
      <c r="D683" s="223"/>
      <c r="E683" s="223"/>
      <c r="F683" s="223"/>
      <c r="G683" s="223"/>
      <c r="H683" s="223"/>
    </row>
    <row r="684" spans="1:8">
      <c r="A684" s="223"/>
      <c r="B684" s="223"/>
      <c r="C684" s="223"/>
      <c r="D684" s="223"/>
      <c r="E684" s="223"/>
      <c r="F684" s="223"/>
      <c r="G684" s="223"/>
      <c r="H684" s="223"/>
    </row>
    <row r="685" spans="1:8">
      <c r="A685" s="223"/>
      <c r="B685" s="223"/>
      <c r="C685" s="223"/>
      <c r="D685" s="223"/>
      <c r="E685" s="223"/>
      <c r="F685" s="223"/>
      <c r="G685" s="223"/>
      <c r="H685" s="223"/>
    </row>
    <row r="686" spans="1:8">
      <c r="A686" s="223"/>
      <c r="B686" s="223"/>
      <c r="C686" s="223"/>
      <c r="D686" s="223"/>
      <c r="E686" s="223"/>
      <c r="F686" s="223"/>
      <c r="G686" s="223"/>
      <c r="H686" s="223"/>
    </row>
    <row r="687" spans="1:8">
      <c r="A687" s="223"/>
      <c r="B687" s="223"/>
      <c r="C687" s="223"/>
      <c r="D687" s="223"/>
      <c r="E687" s="223"/>
      <c r="F687" s="223"/>
      <c r="G687" s="223"/>
      <c r="H687" s="223"/>
    </row>
    <row r="688" spans="1:8">
      <c r="A688" s="223"/>
      <c r="B688" s="223"/>
      <c r="C688" s="223"/>
      <c r="D688" s="223"/>
      <c r="E688" s="223"/>
      <c r="F688" s="223"/>
      <c r="G688" s="223"/>
      <c r="H688" s="223"/>
    </row>
    <row r="689" spans="1:8">
      <c r="A689" s="223"/>
      <c r="B689" s="223"/>
      <c r="C689" s="223"/>
      <c r="D689" s="223"/>
      <c r="E689" s="223"/>
      <c r="F689" s="223"/>
      <c r="G689" s="223"/>
      <c r="H689" s="223"/>
    </row>
    <row r="690" spans="1:8">
      <c r="A690" s="223"/>
      <c r="B690" s="223"/>
      <c r="C690" s="223"/>
      <c r="D690" s="223"/>
      <c r="E690" s="223"/>
      <c r="F690" s="223"/>
      <c r="G690" s="223"/>
      <c r="H690" s="223"/>
    </row>
    <row r="691" spans="1:8">
      <c r="A691" s="223"/>
      <c r="B691" s="223"/>
      <c r="C691" s="223"/>
      <c r="D691" s="223"/>
      <c r="E691" s="223"/>
      <c r="F691" s="223"/>
      <c r="G691" s="223"/>
      <c r="H691" s="223"/>
    </row>
    <row r="692" spans="1:8">
      <c r="A692" s="223"/>
      <c r="B692" s="223"/>
      <c r="C692" s="223"/>
      <c r="D692" s="223"/>
      <c r="E692" s="223"/>
      <c r="F692" s="223"/>
      <c r="G692" s="223"/>
      <c r="H692" s="223"/>
    </row>
    <row r="693" spans="1:8">
      <c r="A693" s="223"/>
      <c r="B693" s="223"/>
      <c r="C693" s="223"/>
      <c r="D693" s="223"/>
      <c r="E693" s="223"/>
      <c r="F693" s="223"/>
      <c r="G693" s="223"/>
      <c r="H693" s="223"/>
    </row>
    <row r="694" spans="1:8">
      <c r="A694" s="223"/>
      <c r="B694" s="223"/>
      <c r="C694" s="223"/>
      <c r="D694" s="223"/>
      <c r="E694" s="223"/>
      <c r="F694" s="223"/>
      <c r="G694" s="223"/>
      <c r="H694" s="223"/>
    </row>
    <row r="695" spans="1:8">
      <c r="A695" s="223"/>
      <c r="B695" s="223"/>
      <c r="C695" s="223"/>
      <c r="D695" s="223"/>
      <c r="E695" s="223"/>
      <c r="F695" s="223"/>
      <c r="G695" s="223"/>
      <c r="H695" s="223"/>
    </row>
    <row r="696" spans="1:8">
      <c r="A696" s="223"/>
      <c r="B696" s="223"/>
      <c r="C696" s="223"/>
      <c r="D696" s="223"/>
      <c r="E696" s="223"/>
      <c r="F696" s="223"/>
      <c r="G696" s="223"/>
      <c r="H696" s="223"/>
    </row>
    <row r="697" spans="1:8">
      <c r="A697" s="223"/>
      <c r="B697" s="223"/>
      <c r="C697" s="223"/>
      <c r="D697" s="223"/>
      <c r="E697" s="223"/>
      <c r="F697" s="223"/>
      <c r="G697" s="223"/>
      <c r="H697" s="223"/>
    </row>
    <row r="698" spans="1:8">
      <c r="A698" s="223"/>
      <c r="B698" s="223"/>
      <c r="C698" s="223"/>
      <c r="D698" s="223"/>
      <c r="E698" s="223"/>
      <c r="F698" s="223"/>
      <c r="G698" s="223"/>
      <c r="H698" s="223"/>
    </row>
    <row r="699" spans="1:8">
      <c r="A699" s="223"/>
      <c r="B699" s="223"/>
      <c r="C699" s="223"/>
      <c r="D699" s="223"/>
      <c r="E699" s="223"/>
      <c r="F699" s="223"/>
      <c r="G699" s="223"/>
      <c r="H699" s="223"/>
    </row>
    <row r="700" spans="1:8">
      <c r="A700" s="223"/>
      <c r="B700" s="223"/>
      <c r="C700" s="223"/>
      <c r="D700" s="223"/>
      <c r="E700" s="223"/>
      <c r="F700" s="223"/>
      <c r="G700" s="223"/>
      <c r="H700" s="223"/>
    </row>
    <row r="701" spans="1:8">
      <c r="A701" s="223"/>
      <c r="B701" s="223"/>
      <c r="C701" s="223"/>
      <c r="D701" s="223"/>
      <c r="E701" s="223"/>
      <c r="F701" s="223"/>
      <c r="G701" s="223"/>
      <c r="H701" s="223"/>
    </row>
    <row r="702" spans="1:8">
      <c r="A702" s="223"/>
      <c r="B702" s="223"/>
      <c r="C702" s="223"/>
      <c r="D702" s="223"/>
      <c r="E702" s="223"/>
      <c r="F702" s="223"/>
      <c r="G702" s="223"/>
      <c r="H702" s="223"/>
    </row>
    <row r="703" spans="1:8">
      <c r="A703" s="223"/>
      <c r="B703" s="223"/>
      <c r="C703" s="223"/>
      <c r="D703" s="223"/>
      <c r="E703" s="223"/>
      <c r="F703" s="223"/>
      <c r="G703" s="223"/>
      <c r="H703" s="223"/>
    </row>
    <row r="704" spans="1:8">
      <c r="A704" s="223"/>
      <c r="B704" s="223"/>
      <c r="C704" s="223"/>
      <c r="D704" s="223"/>
      <c r="E704" s="223"/>
      <c r="F704" s="223"/>
      <c r="G704" s="223"/>
      <c r="H704" s="223"/>
    </row>
    <row r="705" spans="1:8">
      <c r="A705" s="223"/>
      <c r="B705" s="223"/>
      <c r="C705" s="223"/>
      <c r="D705" s="223"/>
      <c r="E705" s="223"/>
      <c r="F705" s="223"/>
      <c r="G705" s="223"/>
      <c r="H705" s="223"/>
    </row>
    <row r="706" spans="1:8">
      <c r="A706" s="223"/>
      <c r="B706" s="223"/>
      <c r="C706" s="223"/>
      <c r="D706" s="223"/>
      <c r="E706" s="223"/>
      <c r="F706" s="223"/>
      <c r="G706" s="223"/>
      <c r="H706" s="223"/>
    </row>
    <row r="707" spans="1:8">
      <c r="A707" s="223"/>
      <c r="B707" s="223"/>
      <c r="C707" s="223"/>
      <c r="D707" s="223"/>
      <c r="E707" s="223"/>
      <c r="F707" s="223"/>
      <c r="G707" s="223"/>
      <c r="H707" s="223"/>
    </row>
    <row r="708" spans="1:8">
      <c r="A708" s="223"/>
      <c r="B708" s="223"/>
      <c r="C708" s="223"/>
      <c r="D708" s="223"/>
      <c r="E708" s="223"/>
      <c r="F708" s="223"/>
      <c r="G708" s="223"/>
      <c r="H708" s="223"/>
    </row>
    <row r="709" spans="1:8">
      <c r="A709" s="223"/>
      <c r="B709" s="223"/>
      <c r="C709" s="223"/>
      <c r="D709" s="223"/>
      <c r="E709" s="223"/>
      <c r="F709" s="223"/>
      <c r="G709" s="223"/>
      <c r="H709" s="223"/>
    </row>
    <row r="710" spans="1:8">
      <c r="A710" s="223"/>
      <c r="B710" s="223"/>
      <c r="C710" s="223"/>
      <c r="D710" s="223"/>
      <c r="E710" s="223"/>
      <c r="F710" s="223"/>
      <c r="G710" s="223"/>
      <c r="H710" s="223"/>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2"/>
  <dimension ref="A1:CY11"/>
  <sheetViews>
    <sheetView topLeftCell="BO1" workbookViewId="0">
      <selection activeCell="BX3" sqref="BX3"/>
    </sheetView>
  </sheetViews>
  <sheetFormatPr defaultRowHeight="15.75"/>
  <cols>
    <col min="1" max="1" width="23.7109375" style="5" customWidth="1"/>
    <col min="2" max="2" width="14.5703125" style="5" customWidth="1"/>
    <col min="3" max="3" width="15.7109375" style="5" customWidth="1"/>
    <col min="4" max="4" width="10.7109375" style="5" customWidth="1"/>
    <col min="5" max="8" width="10.5703125" style="5" customWidth="1"/>
    <col min="9" max="15" width="13.85546875" style="5" customWidth="1"/>
    <col min="16" max="94" width="14.42578125" style="5" customWidth="1"/>
    <col min="95" max="95" width="12.85546875" style="5" customWidth="1"/>
    <col min="96" max="96" width="13.42578125" style="5" customWidth="1"/>
    <col min="97" max="97" width="12.5703125" style="5" customWidth="1"/>
    <col min="98" max="98" width="12" style="5" customWidth="1"/>
    <col min="99" max="99" width="11.5703125" style="5" customWidth="1"/>
    <col min="100" max="100" width="9.140625" style="173"/>
    <col min="101" max="101" width="9.140625" style="5"/>
    <col min="102" max="102" width="10.28515625" style="5" customWidth="1"/>
    <col min="103" max="103" width="10.5703125" style="5" customWidth="1"/>
    <col min="104" max="106" width="9.140625" style="5"/>
    <col min="107" max="107" width="12.5703125" style="5" customWidth="1"/>
    <col min="108" max="108" width="11.5703125" style="5" customWidth="1"/>
    <col min="109" max="110" width="9.140625" style="5"/>
    <col min="111" max="111" width="11.28515625" style="5" customWidth="1"/>
    <col min="112" max="321" width="9.140625" style="5"/>
    <col min="322" max="322" width="20.5703125" style="5" customWidth="1"/>
    <col min="323" max="329" width="9.140625" style="5"/>
    <col min="330" max="330" width="13.140625" style="5" customWidth="1"/>
    <col min="331" max="331" width="9.140625" style="5"/>
    <col min="332" max="332" width="13.85546875" style="5" customWidth="1"/>
    <col min="333" max="334" width="9.140625" style="5"/>
    <col min="335" max="335" width="14.42578125" style="5" customWidth="1"/>
    <col min="336" max="336" width="12" style="5" customWidth="1"/>
    <col min="337" max="340" width="9.140625" style="5"/>
    <col min="341" max="341" width="15.140625" style="5" customWidth="1"/>
    <col min="342" max="343" width="9.140625" style="5"/>
    <col min="344" max="344" width="11.42578125" style="5" customWidth="1"/>
    <col min="345" max="362" width="9.140625" style="5"/>
    <col min="363" max="363" width="12.5703125" style="5" customWidth="1"/>
    <col min="364" max="364" width="11.5703125" style="5" customWidth="1"/>
    <col min="365" max="366" width="9.140625" style="5"/>
    <col min="367" max="367" width="11.28515625" style="5" customWidth="1"/>
    <col min="368" max="577" width="9.140625" style="5"/>
    <col min="578" max="578" width="20.5703125" style="5" customWidth="1"/>
    <col min="579" max="585" width="9.140625" style="5"/>
    <col min="586" max="586" width="13.140625" style="5" customWidth="1"/>
    <col min="587" max="587" width="9.140625" style="5"/>
    <col min="588" max="588" width="13.85546875" style="5" customWidth="1"/>
    <col min="589" max="590" width="9.140625" style="5"/>
    <col min="591" max="591" width="14.42578125" style="5" customWidth="1"/>
    <col min="592" max="592" width="12" style="5" customWidth="1"/>
    <col min="593" max="596" width="9.140625" style="5"/>
    <col min="597" max="597" width="15.140625" style="5" customWidth="1"/>
    <col min="598" max="599" width="9.140625" style="5"/>
    <col min="600" max="600" width="11.42578125" style="5" customWidth="1"/>
    <col min="601" max="618" width="9.140625" style="5"/>
    <col min="619" max="619" width="12.5703125" style="5" customWidth="1"/>
    <col min="620" max="620" width="11.5703125" style="5" customWidth="1"/>
    <col min="621" max="622" width="9.140625" style="5"/>
    <col min="623" max="623" width="11.28515625" style="5" customWidth="1"/>
    <col min="624" max="833" width="9.140625" style="5"/>
    <col min="834" max="834" width="20.5703125" style="5" customWidth="1"/>
    <col min="835" max="841" width="9.140625" style="5"/>
    <col min="842" max="842" width="13.140625" style="5" customWidth="1"/>
    <col min="843" max="843" width="9.140625" style="5"/>
    <col min="844" max="844" width="13.85546875" style="5" customWidth="1"/>
    <col min="845" max="846" width="9.140625" style="5"/>
    <col min="847" max="847" width="14.42578125" style="5" customWidth="1"/>
    <col min="848" max="848" width="12" style="5" customWidth="1"/>
    <col min="849" max="852" width="9.140625" style="5"/>
    <col min="853" max="853" width="15.140625" style="5" customWidth="1"/>
    <col min="854" max="855" width="9.140625" style="5"/>
    <col min="856" max="856" width="11.42578125" style="5" customWidth="1"/>
    <col min="857" max="874" width="9.140625" style="5"/>
    <col min="875" max="875" width="12.5703125" style="5" customWidth="1"/>
    <col min="876" max="876" width="11.5703125" style="5" customWidth="1"/>
    <col min="877" max="878" width="9.140625" style="5"/>
    <col min="879" max="879" width="11.28515625" style="5" customWidth="1"/>
    <col min="880" max="1089" width="9.140625" style="5"/>
    <col min="1090" max="1090" width="20.5703125" style="5" customWidth="1"/>
    <col min="1091" max="1097" width="9.140625" style="5"/>
    <col min="1098" max="1098" width="13.140625" style="5" customWidth="1"/>
    <col min="1099" max="1099" width="9.140625" style="5"/>
    <col min="1100" max="1100" width="13.85546875" style="5" customWidth="1"/>
    <col min="1101" max="1102" width="9.140625" style="5"/>
    <col min="1103" max="1103" width="14.42578125" style="5" customWidth="1"/>
    <col min="1104" max="1104" width="12" style="5" customWidth="1"/>
    <col min="1105" max="1108" width="9.140625" style="5"/>
    <col min="1109" max="1109" width="15.140625" style="5" customWidth="1"/>
    <col min="1110" max="1111" width="9.140625" style="5"/>
    <col min="1112" max="1112" width="11.42578125" style="5" customWidth="1"/>
    <col min="1113" max="1130" width="9.140625" style="5"/>
    <col min="1131" max="1131" width="12.5703125" style="5" customWidth="1"/>
    <col min="1132" max="1132" width="11.5703125" style="5" customWidth="1"/>
    <col min="1133" max="1134" width="9.140625" style="5"/>
    <col min="1135" max="1135" width="11.28515625" style="5" customWidth="1"/>
    <col min="1136" max="1345" width="9.140625" style="5"/>
    <col min="1346" max="1346" width="20.5703125" style="5" customWidth="1"/>
    <col min="1347" max="1353" width="9.140625" style="5"/>
    <col min="1354" max="1354" width="13.140625" style="5" customWidth="1"/>
    <col min="1355" max="1355" width="9.140625" style="5"/>
    <col min="1356" max="1356" width="13.85546875" style="5" customWidth="1"/>
    <col min="1357" max="1358" width="9.140625" style="5"/>
    <col min="1359" max="1359" width="14.42578125" style="5" customWidth="1"/>
    <col min="1360" max="1360" width="12" style="5" customWidth="1"/>
    <col min="1361" max="1364" width="9.140625" style="5"/>
    <col min="1365" max="1365" width="15.140625" style="5" customWidth="1"/>
    <col min="1366" max="1367" width="9.140625" style="5"/>
    <col min="1368" max="1368" width="11.42578125" style="5" customWidth="1"/>
    <col min="1369" max="1386" width="9.140625" style="5"/>
    <col min="1387" max="1387" width="12.5703125" style="5" customWidth="1"/>
    <col min="1388" max="1388" width="11.5703125" style="5" customWidth="1"/>
    <col min="1389" max="1390" width="9.140625" style="5"/>
    <col min="1391" max="1391" width="11.28515625" style="5" customWidth="1"/>
    <col min="1392" max="1601" width="9.140625" style="5"/>
    <col min="1602" max="1602" width="20.5703125" style="5" customWidth="1"/>
    <col min="1603" max="1609" width="9.140625" style="5"/>
    <col min="1610" max="1610" width="13.140625" style="5" customWidth="1"/>
    <col min="1611" max="1611" width="9.140625" style="5"/>
    <col min="1612" max="1612" width="13.85546875" style="5" customWidth="1"/>
    <col min="1613" max="1614" width="9.140625" style="5"/>
    <col min="1615" max="1615" width="14.42578125" style="5" customWidth="1"/>
    <col min="1616" max="1616" width="12" style="5" customWidth="1"/>
    <col min="1617" max="1620" width="9.140625" style="5"/>
    <col min="1621" max="1621" width="15.140625" style="5" customWidth="1"/>
    <col min="1622" max="1623" width="9.140625" style="5"/>
    <col min="1624" max="1624" width="11.42578125" style="5" customWidth="1"/>
    <col min="1625" max="1642" width="9.140625" style="5"/>
    <col min="1643" max="1643" width="12.5703125" style="5" customWidth="1"/>
    <col min="1644" max="1644" width="11.5703125" style="5" customWidth="1"/>
    <col min="1645" max="1646" width="9.140625" style="5"/>
    <col min="1647" max="1647" width="11.28515625" style="5" customWidth="1"/>
    <col min="1648" max="1857" width="9.140625" style="5"/>
    <col min="1858" max="1858" width="20.5703125" style="5" customWidth="1"/>
    <col min="1859" max="1865" width="9.140625" style="5"/>
    <col min="1866" max="1866" width="13.140625" style="5" customWidth="1"/>
    <col min="1867" max="1867" width="9.140625" style="5"/>
    <col min="1868" max="1868" width="13.85546875" style="5" customWidth="1"/>
    <col min="1869" max="1870" width="9.140625" style="5"/>
    <col min="1871" max="1871" width="14.42578125" style="5" customWidth="1"/>
    <col min="1872" max="1872" width="12" style="5" customWidth="1"/>
    <col min="1873" max="1876" width="9.140625" style="5"/>
    <col min="1877" max="1877" width="15.140625" style="5" customWidth="1"/>
    <col min="1878" max="1879" width="9.140625" style="5"/>
    <col min="1880" max="1880" width="11.42578125" style="5" customWidth="1"/>
    <col min="1881" max="1898" width="9.140625" style="5"/>
    <col min="1899" max="1899" width="12.5703125" style="5" customWidth="1"/>
    <col min="1900" max="1900" width="11.5703125" style="5" customWidth="1"/>
    <col min="1901" max="1902" width="9.140625" style="5"/>
    <col min="1903" max="1903" width="11.28515625" style="5" customWidth="1"/>
    <col min="1904" max="2113" width="9.140625" style="5"/>
    <col min="2114" max="2114" width="20.5703125" style="5" customWidth="1"/>
    <col min="2115" max="2121" width="9.140625" style="5"/>
    <col min="2122" max="2122" width="13.140625" style="5" customWidth="1"/>
    <col min="2123" max="2123" width="9.140625" style="5"/>
    <col min="2124" max="2124" width="13.85546875" style="5" customWidth="1"/>
    <col min="2125" max="2126" width="9.140625" style="5"/>
    <col min="2127" max="2127" width="14.42578125" style="5" customWidth="1"/>
    <col min="2128" max="2128" width="12" style="5" customWidth="1"/>
    <col min="2129" max="2132" width="9.140625" style="5"/>
    <col min="2133" max="2133" width="15.140625" style="5" customWidth="1"/>
    <col min="2134" max="2135" width="9.140625" style="5"/>
    <col min="2136" max="2136" width="11.42578125" style="5" customWidth="1"/>
    <col min="2137" max="2154" width="9.140625" style="5"/>
    <col min="2155" max="2155" width="12.5703125" style="5" customWidth="1"/>
    <col min="2156" max="2156" width="11.5703125" style="5" customWidth="1"/>
    <col min="2157" max="2158" width="9.140625" style="5"/>
    <col min="2159" max="2159" width="11.28515625" style="5" customWidth="1"/>
    <col min="2160" max="2369" width="9.140625" style="5"/>
    <col min="2370" max="2370" width="20.5703125" style="5" customWidth="1"/>
    <col min="2371" max="2377" width="9.140625" style="5"/>
    <col min="2378" max="2378" width="13.140625" style="5" customWidth="1"/>
    <col min="2379" max="2379" width="9.140625" style="5"/>
    <col min="2380" max="2380" width="13.85546875" style="5" customWidth="1"/>
    <col min="2381" max="2382" width="9.140625" style="5"/>
    <col min="2383" max="2383" width="14.42578125" style="5" customWidth="1"/>
    <col min="2384" max="2384" width="12" style="5" customWidth="1"/>
    <col min="2385" max="2388" width="9.140625" style="5"/>
    <col min="2389" max="2389" width="15.140625" style="5" customWidth="1"/>
    <col min="2390" max="2391" width="9.140625" style="5"/>
    <col min="2392" max="2392" width="11.42578125" style="5" customWidth="1"/>
    <col min="2393" max="2410" width="9.140625" style="5"/>
    <col min="2411" max="2411" width="12.5703125" style="5" customWidth="1"/>
    <col min="2412" max="2412" width="11.5703125" style="5" customWidth="1"/>
    <col min="2413" max="2414" width="9.140625" style="5"/>
    <col min="2415" max="2415" width="11.28515625" style="5" customWidth="1"/>
    <col min="2416" max="2625" width="9.140625" style="5"/>
    <col min="2626" max="2626" width="20.5703125" style="5" customWidth="1"/>
    <col min="2627" max="2633" width="9.140625" style="5"/>
    <col min="2634" max="2634" width="13.140625" style="5" customWidth="1"/>
    <col min="2635" max="2635" width="9.140625" style="5"/>
    <col min="2636" max="2636" width="13.85546875" style="5" customWidth="1"/>
    <col min="2637" max="2638" width="9.140625" style="5"/>
    <col min="2639" max="2639" width="14.42578125" style="5" customWidth="1"/>
    <col min="2640" max="2640" width="12" style="5" customWidth="1"/>
    <col min="2641" max="2644" width="9.140625" style="5"/>
    <col min="2645" max="2645" width="15.140625" style="5" customWidth="1"/>
    <col min="2646" max="2647" width="9.140625" style="5"/>
    <col min="2648" max="2648" width="11.42578125" style="5" customWidth="1"/>
    <col min="2649" max="2666" width="9.140625" style="5"/>
    <col min="2667" max="2667" width="12.5703125" style="5" customWidth="1"/>
    <col min="2668" max="2668" width="11.5703125" style="5" customWidth="1"/>
    <col min="2669" max="2670" width="9.140625" style="5"/>
    <col min="2671" max="2671" width="11.28515625" style="5" customWidth="1"/>
    <col min="2672" max="2881" width="9.140625" style="5"/>
    <col min="2882" max="2882" width="20.5703125" style="5" customWidth="1"/>
    <col min="2883" max="2889" width="9.140625" style="5"/>
    <col min="2890" max="2890" width="13.140625" style="5" customWidth="1"/>
    <col min="2891" max="2891" width="9.140625" style="5"/>
    <col min="2892" max="2892" width="13.85546875" style="5" customWidth="1"/>
    <col min="2893" max="2894" width="9.140625" style="5"/>
    <col min="2895" max="2895" width="14.42578125" style="5" customWidth="1"/>
    <col min="2896" max="2896" width="12" style="5" customWidth="1"/>
    <col min="2897" max="2900" width="9.140625" style="5"/>
    <col min="2901" max="2901" width="15.140625" style="5" customWidth="1"/>
    <col min="2902" max="2903" width="9.140625" style="5"/>
    <col min="2904" max="2904" width="11.42578125" style="5" customWidth="1"/>
    <col min="2905" max="2922" width="9.140625" style="5"/>
    <col min="2923" max="2923" width="12.5703125" style="5" customWidth="1"/>
    <col min="2924" max="2924" width="11.5703125" style="5" customWidth="1"/>
    <col min="2925" max="2926" width="9.140625" style="5"/>
    <col min="2927" max="2927" width="11.28515625" style="5" customWidth="1"/>
    <col min="2928" max="3137" width="9.140625" style="5"/>
    <col min="3138" max="3138" width="20.5703125" style="5" customWidth="1"/>
    <col min="3139" max="3145" width="9.140625" style="5"/>
    <col min="3146" max="3146" width="13.140625" style="5" customWidth="1"/>
    <col min="3147" max="3147" width="9.140625" style="5"/>
    <col min="3148" max="3148" width="13.85546875" style="5" customWidth="1"/>
    <col min="3149" max="3150" width="9.140625" style="5"/>
    <col min="3151" max="3151" width="14.42578125" style="5" customWidth="1"/>
    <col min="3152" max="3152" width="12" style="5" customWidth="1"/>
    <col min="3153" max="3156" width="9.140625" style="5"/>
    <col min="3157" max="3157" width="15.140625" style="5" customWidth="1"/>
    <col min="3158" max="3159" width="9.140625" style="5"/>
    <col min="3160" max="3160" width="11.42578125" style="5" customWidth="1"/>
    <col min="3161" max="3178" width="9.140625" style="5"/>
    <col min="3179" max="3179" width="12.5703125" style="5" customWidth="1"/>
    <col min="3180" max="3180" width="11.5703125" style="5" customWidth="1"/>
    <col min="3181" max="3182" width="9.140625" style="5"/>
    <col min="3183" max="3183" width="11.28515625" style="5" customWidth="1"/>
    <col min="3184" max="3393" width="9.140625" style="5"/>
    <col min="3394" max="3394" width="20.5703125" style="5" customWidth="1"/>
    <col min="3395" max="3401" width="9.140625" style="5"/>
    <col min="3402" max="3402" width="13.140625" style="5" customWidth="1"/>
    <col min="3403" max="3403" width="9.140625" style="5"/>
    <col min="3404" max="3404" width="13.85546875" style="5" customWidth="1"/>
    <col min="3405" max="3406" width="9.140625" style="5"/>
    <col min="3407" max="3407" width="14.42578125" style="5" customWidth="1"/>
    <col min="3408" max="3408" width="12" style="5" customWidth="1"/>
    <col min="3409" max="3412" width="9.140625" style="5"/>
    <col min="3413" max="3413" width="15.140625" style="5" customWidth="1"/>
    <col min="3414" max="3415" width="9.140625" style="5"/>
    <col min="3416" max="3416" width="11.42578125" style="5" customWidth="1"/>
    <col min="3417" max="3434" width="9.140625" style="5"/>
    <col min="3435" max="3435" width="12.5703125" style="5" customWidth="1"/>
    <col min="3436" max="3436" width="11.5703125" style="5" customWidth="1"/>
    <col min="3437" max="3438" width="9.140625" style="5"/>
    <col min="3439" max="3439" width="11.28515625" style="5" customWidth="1"/>
    <col min="3440" max="3649" width="9.140625" style="5"/>
    <col min="3650" max="3650" width="20.5703125" style="5" customWidth="1"/>
    <col min="3651" max="3657" width="9.140625" style="5"/>
    <col min="3658" max="3658" width="13.140625" style="5" customWidth="1"/>
    <col min="3659" max="3659" width="9.140625" style="5"/>
    <col min="3660" max="3660" width="13.85546875" style="5" customWidth="1"/>
    <col min="3661" max="3662" width="9.140625" style="5"/>
    <col min="3663" max="3663" width="14.42578125" style="5" customWidth="1"/>
    <col min="3664" max="3664" width="12" style="5" customWidth="1"/>
    <col min="3665" max="3668" width="9.140625" style="5"/>
    <col min="3669" max="3669" width="15.140625" style="5" customWidth="1"/>
    <col min="3670" max="3671" width="9.140625" style="5"/>
    <col min="3672" max="3672" width="11.42578125" style="5" customWidth="1"/>
    <col min="3673" max="3690" width="9.140625" style="5"/>
    <col min="3691" max="3691" width="12.5703125" style="5" customWidth="1"/>
    <col min="3692" max="3692" width="11.5703125" style="5" customWidth="1"/>
    <col min="3693" max="3694" width="9.140625" style="5"/>
    <col min="3695" max="3695" width="11.28515625" style="5" customWidth="1"/>
    <col min="3696" max="3905" width="9.140625" style="5"/>
    <col min="3906" max="3906" width="20.5703125" style="5" customWidth="1"/>
    <col min="3907" max="3913" width="9.140625" style="5"/>
    <col min="3914" max="3914" width="13.140625" style="5" customWidth="1"/>
    <col min="3915" max="3915" width="9.140625" style="5"/>
    <col min="3916" max="3916" width="13.85546875" style="5" customWidth="1"/>
    <col min="3917" max="3918" width="9.140625" style="5"/>
    <col min="3919" max="3919" width="14.42578125" style="5" customWidth="1"/>
    <col min="3920" max="3920" width="12" style="5" customWidth="1"/>
    <col min="3921" max="3924" width="9.140625" style="5"/>
    <col min="3925" max="3925" width="15.140625" style="5" customWidth="1"/>
    <col min="3926" max="3927" width="9.140625" style="5"/>
    <col min="3928" max="3928" width="11.42578125" style="5" customWidth="1"/>
    <col min="3929" max="3946" width="9.140625" style="5"/>
    <col min="3947" max="3947" width="12.5703125" style="5" customWidth="1"/>
    <col min="3948" max="3948" width="11.5703125" style="5" customWidth="1"/>
    <col min="3949" max="3950" width="9.140625" style="5"/>
    <col min="3951" max="3951" width="11.28515625" style="5" customWidth="1"/>
    <col min="3952" max="4161" width="9.140625" style="5"/>
    <col min="4162" max="4162" width="20.5703125" style="5" customWidth="1"/>
    <col min="4163" max="4169" width="9.140625" style="5"/>
    <col min="4170" max="4170" width="13.140625" style="5" customWidth="1"/>
    <col min="4171" max="4171" width="9.140625" style="5"/>
    <col min="4172" max="4172" width="13.85546875" style="5" customWidth="1"/>
    <col min="4173" max="4174" width="9.140625" style="5"/>
    <col min="4175" max="4175" width="14.42578125" style="5" customWidth="1"/>
    <col min="4176" max="4176" width="12" style="5" customWidth="1"/>
    <col min="4177" max="4180" width="9.140625" style="5"/>
    <col min="4181" max="4181" width="15.140625" style="5" customWidth="1"/>
    <col min="4182" max="4183" width="9.140625" style="5"/>
    <col min="4184" max="4184" width="11.42578125" style="5" customWidth="1"/>
    <col min="4185" max="4202" width="9.140625" style="5"/>
    <col min="4203" max="4203" width="12.5703125" style="5" customWidth="1"/>
    <col min="4204" max="4204" width="11.5703125" style="5" customWidth="1"/>
    <col min="4205" max="4206" width="9.140625" style="5"/>
    <col min="4207" max="4207" width="11.28515625" style="5" customWidth="1"/>
    <col min="4208" max="4417" width="9.140625" style="5"/>
    <col min="4418" max="4418" width="20.5703125" style="5" customWidth="1"/>
    <col min="4419" max="4425" width="9.140625" style="5"/>
    <col min="4426" max="4426" width="13.140625" style="5" customWidth="1"/>
    <col min="4427" max="4427" width="9.140625" style="5"/>
    <col min="4428" max="4428" width="13.85546875" style="5" customWidth="1"/>
    <col min="4429" max="4430" width="9.140625" style="5"/>
    <col min="4431" max="4431" width="14.42578125" style="5" customWidth="1"/>
    <col min="4432" max="4432" width="12" style="5" customWidth="1"/>
    <col min="4433" max="4436" width="9.140625" style="5"/>
    <col min="4437" max="4437" width="15.140625" style="5" customWidth="1"/>
    <col min="4438" max="4439" width="9.140625" style="5"/>
    <col min="4440" max="4440" width="11.42578125" style="5" customWidth="1"/>
    <col min="4441" max="4458" width="9.140625" style="5"/>
    <col min="4459" max="4459" width="12.5703125" style="5" customWidth="1"/>
    <col min="4460" max="4460" width="11.5703125" style="5" customWidth="1"/>
    <col min="4461" max="4462" width="9.140625" style="5"/>
    <col min="4463" max="4463" width="11.28515625" style="5" customWidth="1"/>
    <col min="4464" max="4673" width="9.140625" style="5"/>
    <col min="4674" max="4674" width="20.5703125" style="5" customWidth="1"/>
    <col min="4675" max="4681" width="9.140625" style="5"/>
    <col min="4682" max="4682" width="13.140625" style="5" customWidth="1"/>
    <col min="4683" max="4683" width="9.140625" style="5"/>
    <col min="4684" max="4684" width="13.85546875" style="5" customWidth="1"/>
    <col min="4685" max="4686" width="9.140625" style="5"/>
    <col min="4687" max="4687" width="14.42578125" style="5" customWidth="1"/>
    <col min="4688" max="4688" width="12" style="5" customWidth="1"/>
    <col min="4689" max="4692" width="9.140625" style="5"/>
    <col min="4693" max="4693" width="15.140625" style="5" customWidth="1"/>
    <col min="4694" max="4695" width="9.140625" style="5"/>
    <col min="4696" max="4696" width="11.42578125" style="5" customWidth="1"/>
    <col min="4697" max="4714" width="9.140625" style="5"/>
    <col min="4715" max="4715" width="12.5703125" style="5" customWidth="1"/>
    <col min="4716" max="4716" width="11.5703125" style="5" customWidth="1"/>
    <col min="4717" max="4718" width="9.140625" style="5"/>
    <col min="4719" max="4719" width="11.28515625" style="5" customWidth="1"/>
    <col min="4720" max="4929" width="9.140625" style="5"/>
    <col min="4930" max="4930" width="20.5703125" style="5" customWidth="1"/>
    <col min="4931" max="4937" width="9.140625" style="5"/>
    <col min="4938" max="4938" width="13.140625" style="5" customWidth="1"/>
    <col min="4939" max="4939" width="9.140625" style="5"/>
    <col min="4940" max="4940" width="13.85546875" style="5" customWidth="1"/>
    <col min="4941" max="4942" width="9.140625" style="5"/>
    <col min="4943" max="4943" width="14.42578125" style="5" customWidth="1"/>
    <col min="4944" max="4944" width="12" style="5" customWidth="1"/>
    <col min="4945" max="4948" width="9.140625" style="5"/>
    <col min="4949" max="4949" width="15.140625" style="5" customWidth="1"/>
    <col min="4950" max="4951" width="9.140625" style="5"/>
    <col min="4952" max="4952" width="11.42578125" style="5" customWidth="1"/>
    <col min="4953" max="4970" width="9.140625" style="5"/>
    <col min="4971" max="4971" width="12.5703125" style="5" customWidth="1"/>
    <col min="4972" max="4972" width="11.5703125" style="5" customWidth="1"/>
    <col min="4973" max="4974" width="9.140625" style="5"/>
    <col min="4975" max="4975" width="11.28515625" style="5" customWidth="1"/>
    <col min="4976" max="5185" width="9.140625" style="5"/>
    <col min="5186" max="5186" width="20.5703125" style="5" customWidth="1"/>
    <col min="5187" max="5193" width="9.140625" style="5"/>
    <col min="5194" max="5194" width="13.140625" style="5" customWidth="1"/>
    <col min="5195" max="5195" width="9.140625" style="5"/>
    <col min="5196" max="5196" width="13.85546875" style="5" customWidth="1"/>
    <col min="5197" max="5198" width="9.140625" style="5"/>
    <col min="5199" max="5199" width="14.42578125" style="5" customWidth="1"/>
    <col min="5200" max="5200" width="12" style="5" customWidth="1"/>
    <col min="5201" max="5204" width="9.140625" style="5"/>
    <col min="5205" max="5205" width="15.140625" style="5" customWidth="1"/>
    <col min="5206" max="5207" width="9.140625" style="5"/>
    <col min="5208" max="5208" width="11.42578125" style="5" customWidth="1"/>
    <col min="5209" max="5226" width="9.140625" style="5"/>
    <col min="5227" max="5227" width="12.5703125" style="5" customWidth="1"/>
    <col min="5228" max="5228" width="11.5703125" style="5" customWidth="1"/>
    <col min="5229" max="5230" width="9.140625" style="5"/>
    <col min="5231" max="5231" width="11.28515625" style="5" customWidth="1"/>
    <col min="5232" max="5441" width="9.140625" style="5"/>
    <col min="5442" max="5442" width="20.5703125" style="5" customWidth="1"/>
    <col min="5443" max="5449" width="9.140625" style="5"/>
    <col min="5450" max="5450" width="13.140625" style="5" customWidth="1"/>
    <col min="5451" max="5451" width="9.140625" style="5"/>
    <col min="5452" max="5452" width="13.85546875" style="5" customWidth="1"/>
    <col min="5453" max="5454" width="9.140625" style="5"/>
    <col min="5455" max="5455" width="14.42578125" style="5" customWidth="1"/>
    <col min="5456" max="5456" width="12" style="5" customWidth="1"/>
    <col min="5457" max="5460" width="9.140625" style="5"/>
    <col min="5461" max="5461" width="15.140625" style="5" customWidth="1"/>
    <col min="5462" max="5463" width="9.140625" style="5"/>
    <col min="5464" max="5464" width="11.42578125" style="5" customWidth="1"/>
    <col min="5465" max="5482" width="9.140625" style="5"/>
    <col min="5483" max="5483" width="12.5703125" style="5" customWidth="1"/>
    <col min="5484" max="5484" width="11.5703125" style="5" customWidth="1"/>
    <col min="5485" max="5486" width="9.140625" style="5"/>
    <col min="5487" max="5487" width="11.28515625" style="5" customWidth="1"/>
    <col min="5488" max="5697" width="9.140625" style="5"/>
    <col min="5698" max="5698" width="20.5703125" style="5" customWidth="1"/>
    <col min="5699" max="5705" width="9.140625" style="5"/>
    <col min="5706" max="5706" width="13.140625" style="5" customWidth="1"/>
    <col min="5707" max="5707" width="9.140625" style="5"/>
    <col min="5708" max="5708" width="13.85546875" style="5" customWidth="1"/>
    <col min="5709" max="5710" width="9.140625" style="5"/>
    <col min="5711" max="5711" width="14.42578125" style="5" customWidth="1"/>
    <col min="5712" max="5712" width="12" style="5" customWidth="1"/>
    <col min="5713" max="5716" width="9.140625" style="5"/>
    <col min="5717" max="5717" width="15.140625" style="5" customWidth="1"/>
    <col min="5718" max="5719" width="9.140625" style="5"/>
    <col min="5720" max="5720" width="11.42578125" style="5" customWidth="1"/>
    <col min="5721" max="5738" width="9.140625" style="5"/>
    <col min="5739" max="5739" width="12.5703125" style="5" customWidth="1"/>
    <col min="5740" max="5740" width="11.5703125" style="5" customWidth="1"/>
    <col min="5741" max="5742" width="9.140625" style="5"/>
    <col min="5743" max="5743" width="11.28515625" style="5" customWidth="1"/>
    <col min="5744" max="5953" width="9.140625" style="5"/>
    <col min="5954" max="5954" width="20.5703125" style="5" customWidth="1"/>
    <col min="5955" max="5961" width="9.140625" style="5"/>
    <col min="5962" max="5962" width="13.140625" style="5" customWidth="1"/>
    <col min="5963" max="5963" width="9.140625" style="5"/>
    <col min="5964" max="5964" width="13.85546875" style="5" customWidth="1"/>
    <col min="5965" max="5966" width="9.140625" style="5"/>
    <col min="5967" max="5967" width="14.42578125" style="5" customWidth="1"/>
    <col min="5968" max="5968" width="12" style="5" customWidth="1"/>
    <col min="5969" max="5972" width="9.140625" style="5"/>
    <col min="5973" max="5973" width="15.140625" style="5" customWidth="1"/>
    <col min="5974" max="5975" width="9.140625" style="5"/>
    <col min="5976" max="5976" width="11.42578125" style="5" customWidth="1"/>
    <col min="5977" max="5994" width="9.140625" style="5"/>
    <col min="5995" max="5995" width="12.5703125" style="5" customWidth="1"/>
    <col min="5996" max="5996" width="11.5703125" style="5" customWidth="1"/>
    <col min="5997" max="5998" width="9.140625" style="5"/>
    <col min="5999" max="5999" width="11.28515625" style="5" customWidth="1"/>
    <col min="6000" max="6209" width="9.140625" style="5"/>
    <col min="6210" max="6210" width="20.5703125" style="5" customWidth="1"/>
    <col min="6211" max="6217" width="9.140625" style="5"/>
    <col min="6218" max="6218" width="13.140625" style="5" customWidth="1"/>
    <col min="6219" max="6219" width="9.140625" style="5"/>
    <col min="6220" max="6220" width="13.85546875" style="5" customWidth="1"/>
    <col min="6221" max="6222" width="9.140625" style="5"/>
    <col min="6223" max="6223" width="14.42578125" style="5" customWidth="1"/>
    <col min="6224" max="6224" width="12" style="5" customWidth="1"/>
    <col min="6225" max="6228" width="9.140625" style="5"/>
    <col min="6229" max="6229" width="15.140625" style="5" customWidth="1"/>
    <col min="6230" max="6231" width="9.140625" style="5"/>
    <col min="6232" max="6232" width="11.42578125" style="5" customWidth="1"/>
    <col min="6233" max="6250" width="9.140625" style="5"/>
    <col min="6251" max="6251" width="12.5703125" style="5" customWidth="1"/>
    <col min="6252" max="6252" width="11.5703125" style="5" customWidth="1"/>
    <col min="6253" max="6254" width="9.140625" style="5"/>
    <col min="6255" max="6255" width="11.28515625" style="5" customWidth="1"/>
    <col min="6256" max="6465" width="9.140625" style="5"/>
    <col min="6466" max="6466" width="20.5703125" style="5" customWidth="1"/>
    <col min="6467" max="6473" width="9.140625" style="5"/>
    <col min="6474" max="6474" width="13.140625" style="5" customWidth="1"/>
    <col min="6475" max="6475" width="9.140625" style="5"/>
    <col min="6476" max="6476" width="13.85546875" style="5" customWidth="1"/>
    <col min="6477" max="6478" width="9.140625" style="5"/>
    <col min="6479" max="6479" width="14.42578125" style="5" customWidth="1"/>
    <col min="6480" max="6480" width="12" style="5" customWidth="1"/>
    <col min="6481" max="6484" width="9.140625" style="5"/>
    <col min="6485" max="6485" width="15.140625" style="5" customWidth="1"/>
    <col min="6486" max="6487" width="9.140625" style="5"/>
    <col min="6488" max="6488" width="11.42578125" style="5" customWidth="1"/>
    <col min="6489" max="6506" width="9.140625" style="5"/>
    <col min="6507" max="6507" width="12.5703125" style="5" customWidth="1"/>
    <col min="6508" max="6508" width="11.5703125" style="5" customWidth="1"/>
    <col min="6509" max="6510" width="9.140625" style="5"/>
    <col min="6511" max="6511" width="11.28515625" style="5" customWidth="1"/>
    <col min="6512" max="6721" width="9.140625" style="5"/>
    <col min="6722" max="6722" width="20.5703125" style="5" customWidth="1"/>
    <col min="6723" max="6729" width="9.140625" style="5"/>
    <col min="6730" max="6730" width="13.140625" style="5" customWidth="1"/>
    <col min="6731" max="6731" width="9.140625" style="5"/>
    <col min="6732" max="6732" width="13.85546875" style="5" customWidth="1"/>
    <col min="6733" max="6734" width="9.140625" style="5"/>
    <col min="6735" max="6735" width="14.42578125" style="5" customWidth="1"/>
    <col min="6736" max="6736" width="12" style="5" customWidth="1"/>
    <col min="6737" max="6740" width="9.140625" style="5"/>
    <col min="6741" max="6741" width="15.140625" style="5" customWidth="1"/>
    <col min="6742" max="6743" width="9.140625" style="5"/>
    <col min="6744" max="6744" width="11.42578125" style="5" customWidth="1"/>
    <col min="6745" max="6762" width="9.140625" style="5"/>
    <col min="6763" max="6763" width="12.5703125" style="5" customWidth="1"/>
    <col min="6764" max="6764" width="11.5703125" style="5" customWidth="1"/>
    <col min="6765" max="6766" width="9.140625" style="5"/>
    <col min="6767" max="6767" width="11.28515625" style="5" customWidth="1"/>
    <col min="6768" max="6977" width="9.140625" style="5"/>
    <col min="6978" max="6978" width="20.5703125" style="5" customWidth="1"/>
    <col min="6979" max="6985" width="9.140625" style="5"/>
    <col min="6986" max="6986" width="13.140625" style="5" customWidth="1"/>
    <col min="6987" max="6987" width="9.140625" style="5"/>
    <col min="6988" max="6988" width="13.85546875" style="5" customWidth="1"/>
    <col min="6989" max="6990" width="9.140625" style="5"/>
    <col min="6991" max="6991" width="14.42578125" style="5" customWidth="1"/>
    <col min="6992" max="6992" width="12" style="5" customWidth="1"/>
    <col min="6993" max="6996" width="9.140625" style="5"/>
    <col min="6997" max="6997" width="15.140625" style="5" customWidth="1"/>
    <col min="6998" max="6999" width="9.140625" style="5"/>
    <col min="7000" max="7000" width="11.42578125" style="5" customWidth="1"/>
    <col min="7001" max="7018" width="9.140625" style="5"/>
    <col min="7019" max="7019" width="12.5703125" style="5" customWidth="1"/>
    <col min="7020" max="7020" width="11.5703125" style="5" customWidth="1"/>
    <col min="7021" max="7022" width="9.140625" style="5"/>
    <col min="7023" max="7023" width="11.28515625" style="5" customWidth="1"/>
    <col min="7024" max="7233" width="9.140625" style="5"/>
    <col min="7234" max="7234" width="20.5703125" style="5" customWidth="1"/>
    <col min="7235" max="7241" width="9.140625" style="5"/>
    <col min="7242" max="7242" width="13.140625" style="5" customWidth="1"/>
    <col min="7243" max="7243" width="9.140625" style="5"/>
    <col min="7244" max="7244" width="13.85546875" style="5" customWidth="1"/>
    <col min="7245" max="7246" width="9.140625" style="5"/>
    <col min="7247" max="7247" width="14.42578125" style="5" customWidth="1"/>
    <col min="7248" max="7248" width="12" style="5" customWidth="1"/>
    <col min="7249" max="7252" width="9.140625" style="5"/>
    <col min="7253" max="7253" width="15.140625" style="5" customWidth="1"/>
    <col min="7254" max="7255" width="9.140625" style="5"/>
    <col min="7256" max="7256" width="11.42578125" style="5" customWidth="1"/>
    <col min="7257" max="7274" width="9.140625" style="5"/>
    <col min="7275" max="7275" width="12.5703125" style="5" customWidth="1"/>
    <col min="7276" max="7276" width="11.5703125" style="5" customWidth="1"/>
    <col min="7277" max="7278" width="9.140625" style="5"/>
    <col min="7279" max="7279" width="11.28515625" style="5" customWidth="1"/>
    <col min="7280" max="7489" width="9.140625" style="5"/>
    <col min="7490" max="7490" width="20.5703125" style="5" customWidth="1"/>
    <col min="7491" max="7497" width="9.140625" style="5"/>
    <col min="7498" max="7498" width="13.140625" style="5" customWidth="1"/>
    <col min="7499" max="7499" width="9.140625" style="5"/>
    <col min="7500" max="7500" width="13.85546875" style="5" customWidth="1"/>
    <col min="7501" max="7502" width="9.140625" style="5"/>
    <col min="7503" max="7503" width="14.42578125" style="5" customWidth="1"/>
    <col min="7504" max="7504" width="12" style="5" customWidth="1"/>
    <col min="7505" max="7508" width="9.140625" style="5"/>
    <col min="7509" max="7509" width="15.140625" style="5" customWidth="1"/>
    <col min="7510" max="7511" width="9.140625" style="5"/>
    <col min="7512" max="7512" width="11.42578125" style="5" customWidth="1"/>
    <col min="7513" max="7530" width="9.140625" style="5"/>
    <col min="7531" max="7531" width="12.5703125" style="5" customWidth="1"/>
    <col min="7532" max="7532" width="11.5703125" style="5" customWidth="1"/>
    <col min="7533" max="7534" width="9.140625" style="5"/>
    <col min="7535" max="7535" width="11.28515625" style="5" customWidth="1"/>
    <col min="7536" max="7745" width="9.140625" style="5"/>
    <col min="7746" max="7746" width="20.5703125" style="5" customWidth="1"/>
    <col min="7747" max="7753" width="9.140625" style="5"/>
    <col min="7754" max="7754" width="13.140625" style="5" customWidth="1"/>
    <col min="7755" max="7755" width="9.140625" style="5"/>
    <col min="7756" max="7756" width="13.85546875" style="5" customWidth="1"/>
    <col min="7757" max="7758" width="9.140625" style="5"/>
    <col min="7759" max="7759" width="14.42578125" style="5" customWidth="1"/>
    <col min="7760" max="7760" width="12" style="5" customWidth="1"/>
    <col min="7761" max="7764" width="9.140625" style="5"/>
    <col min="7765" max="7765" width="15.140625" style="5" customWidth="1"/>
    <col min="7766" max="7767" width="9.140625" style="5"/>
    <col min="7768" max="7768" width="11.42578125" style="5" customWidth="1"/>
    <col min="7769" max="7786" width="9.140625" style="5"/>
    <col min="7787" max="7787" width="12.5703125" style="5" customWidth="1"/>
    <col min="7788" max="7788" width="11.5703125" style="5" customWidth="1"/>
    <col min="7789" max="7790" width="9.140625" style="5"/>
    <col min="7791" max="7791" width="11.28515625" style="5" customWidth="1"/>
    <col min="7792" max="8001" width="9.140625" style="5"/>
    <col min="8002" max="8002" width="20.5703125" style="5" customWidth="1"/>
    <col min="8003" max="8009" width="9.140625" style="5"/>
    <col min="8010" max="8010" width="13.140625" style="5" customWidth="1"/>
    <col min="8011" max="8011" width="9.140625" style="5"/>
    <col min="8012" max="8012" width="13.85546875" style="5" customWidth="1"/>
    <col min="8013" max="8014" width="9.140625" style="5"/>
    <col min="8015" max="8015" width="14.42578125" style="5" customWidth="1"/>
    <col min="8016" max="8016" width="12" style="5" customWidth="1"/>
    <col min="8017" max="8020" width="9.140625" style="5"/>
    <col min="8021" max="8021" width="15.140625" style="5" customWidth="1"/>
    <col min="8022" max="8023" width="9.140625" style="5"/>
    <col min="8024" max="8024" width="11.42578125" style="5" customWidth="1"/>
    <col min="8025" max="8042" width="9.140625" style="5"/>
    <col min="8043" max="8043" width="12.5703125" style="5" customWidth="1"/>
    <col min="8044" max="8044" width="11.5703125" style="5" customWidth="1"/>
    <col min="8045" max="8046" width="9.140625" style="5"/>
    <col min="8047" max="8047" width="11.28515625" style="5" customWidth="1"/>
    <col min="8048" max="8257" width="9.140625" style="5"/>
    <col min="8258" max="8258" width="20.5703125" style="5" customWidth="1"/>
    <col min="8259" max="8265" width="9.140625" style="5"/>
    <col min="8266" max="8266" width="13.140625" style="5" customWidth="1"/>
    <col min="8267" max="8267" width="9.140625" style="5"/>
    <col min="8268" max="8268" width="13.85546875" style="5" customWidth="1"/>
    <col min="8269" max="8270" width="9.140625" style="5"/>
    <col min="8271" max="8271" width="14.42578125" style="5" customWidth="1"/>
    <col min="8272" max="8272" width="12" style="5" customWidth="1"/>
    <col min="8273" max="8276" width="9.140625" style="5"/>
    <col min="8277" max="8277" width="15.140625" style="5" customWidth="1"/>
    <col min="8278" max="8279" width="9.140625" style="5"/>
    <col min="8280" max="8280" width="11.42578125" style="5" customWidth="1"/>
    <col min="8281" max="8298" width="9.140625" style="5"/>
    <col min="8299" max="8299" width="12.5703125" style="5" customWidth="1"/>
    <col min="8300" max="8300" width="11.5703125" style="5" customWidth="1"/>
    <col min="8301" max="8302" width="9.140625" style="5"/>
    <col min="8303" max="8303" width="11.28515625" style="5" customWidth="1"/>
    <col min="8304" max="8513" width="9.140625" style="5"/>
    <col min="8514" max="8514" width="20.5703125" style="5" customWidth="1"/>
    <col min="8515" max="8521" width="9.140625" style="5"/>
    <col min="8522" max="8522" width="13.140625" style="5" customWidth="1"/>
    <col min="8523" max="8523" width="9.140625" style="5"/>
    <col min="8524" max="8524" width="13.85546875" style="5" customWidth="1"/>
    <col min="8525" max="8526" width="9.140625" style="5"/>
    <col min="8527" max="8527" width="14.42578125" style="5" customWidth="1"/>
    <col min="8528" max="8528" width="12" style="5" customWidth="1"/>
    <col min="8529" max="8532" width="9.140625" style="5"/>
    <col min="8533" max="8533" width="15.140625" style="5" customWidth="1"/>
    <col min="8534" max="8535" width="9.140625" style="5"/>
    <col min="8536" max="8536" width="11.42578125" style="5" customWidth="1"/>
    <col min="8537" max="8554" width="9.140625" style="5"/>
    <col min="8555" max="8555" width="12.5703125" style="5" customWidth="1"/>
    <col min="8556" max="8556" width="11.5703125" style="5" customWidth="1"/>
    <col min="8557" max="8558" width="9.140625" style="5"/>
    <col min="8559" max="8559" width="11.28515625" style="5" customWidth="1"/>
    <col min="8560" max="8769" width="9.140625" style="5"/>
    <col min="8770" max="8770" width="20.5703125" style="5" customWidth="1"/>
    <col min="8771" max="8777" width="9.140625" style="5"/>
    <col min="8778" max="8778" width="13.140625" style="5" customWidth="1"/>
    <col min="8779" max="8779" width="9.140625" style="5"/>
    <col min="8780" max="8780" width="13.85546875" style="5" customWidth="1"/>
    <col min="8781" max="8782" width="9.140625" style="5"/>
    <col min="8783" max="8783" width="14.42578125" style="5" customWidth="1"/>
    <col min="8784" max="8784" width="12" style="5" customWidth="1"/>
    <col min="8785" max="8788" width="9.140625" style="5"/>
    <col min="8789" max="8789" width="15.140625" style="5" customWidth="1"/>
    <col min="8790" max="8791" width="9.140625" style="5"/>
    <col min="8792" max="8792" width="11.42578125" style="5" customWidth="1"/>
    <col min="8793" max="8810" width="9.140625" style="5"/>
    <col min="8811" max="8811" width="12.5703125" style="5" customWidth="1"/>
    <col min="8812" max="8812" width="11.5703125" style="5" customWidth="1"/>
    <col min="8813" max="8814" width="9.140625" style="5"/>
    <col min="8815" max="8815" width="11.28515625" style="5" customWidth="1"/>
    <col min="8816" max="9025" width="9.140625" style="5"/>
    <col min="9026" max="9026" width="20.5703125" style="5" customWidth="1"/>
    <col min="9027" max="9033" width="9.140625" style="5"/>
    <col min="9034" max="9034" width="13.140625" style="5" customWidth="1"/>
    <col min="9035" max="9035" width="9.140625" style="5"/>
    <col min="9036" max="9036" width="13.85546875" style="5" customWidth="1"/>
    <col min="9037" max="9038" width="9.140625" style="5"/>
    <col min="9039" max="9039" width="14.42578125" style="5" customWidth="1"/>
    <col min="9040" max="9040" width="12" style="5" customWidth="1"/>
    <col min="9041" max="9044" width="9.140625" style="5"/>
    <col min="9045" max="9045" width="15.140625" style="5" customWidth="1"/>
    <col min="9046" max="9047" width="9.140625" style="5"/>
    <col min="9048" max="9048" width="11.42578125" style="5" customWidth="1"/>
    <col min="9049" max="9066" width="9.140625" style="5"/>
    <col min="9067" max="9067" width="12.5703125" style="5" customWidth="1"/>
    <col min="9068" max="9068" width="11.5703125" style="5" customWidth="1"/>
    <col min="9069" max="9070" width="9.140625" style="5"/>
    <col min="9071" max="9071" width="11.28515625" style="5" customWidth="1"/>
    <col min="9072" max="9281" width="9.140625" style="5"/>
    <col min="9282" max="9282" width="20.5703125" style="5" customWidth="1"/>
    <col min="9283" max="9289" width="9.140625" style="5"/>
    <col min="9290" max="9290" width="13.140625" style="5" customWidth="1"/>
    <col min="9291" max="9291" width="9.140625" style="5"/>
    <col min="9292" max="9292" width="13.85546875" style="5" customWidth="1"/>
    <col min="9293" max="9294" width="9.140625" style="5"/>
    <col min="9295" max="9295" width="14.42578125" style="5" customWidth="1"/>
    <col min="9296" max="9296" width="12" style="5" customWidth="1"/>
    <col min="9297" max="9300" width="9.140625" style="5"/>
    <col min="9301" max="9301" width="15.140625" style="5" customWidth="1"/>
    <col min="9302" max="9303" width="9.140625" style="5"/>
    <col min="9304" max="9304" width="11.42578125" style="5" customWidth="1"/>
    <col min="9305" max="9322" width="9.140625" style="5"/>
    <col min="9323" max="9323" width="12.5703125" style="5" customWidth="1"/>
    <col min="9324" max="9324" width="11.5703125" style="5" customWidth="1"/>
    <col min="9325" max="9326" width="9.140625" style="5"/>
    <col min="9327" max="9327" width="11.28515625" style="5" customWidth="1"/>
    <col min="9328" max="9537" width="9.140625" style="5"/>
    <col min="9538" max="9538" width="20.5703125" style="5" customWidth="1"/>
    <col min="9539" max="9545" width="9.140625" style="5"/>
    <col min="9546" max="9546" width="13.140625" style="5" customWidth="1"/>
    <col min="9547" max="9547" width="9.140625" style="5"/>
    <col min="9548" max="9548" width="13.85546875" style="5" customWidth="1"/>
    <col min="9549" max="9550" width="9.140625" style="5"/>
    <col min="9551" max="9551" width="14.42578125" style="5" customWidth="1"/>
    <col min="9552" max="9552" width="12" style="5" customWidth="1"/>
    <col min="9553" max="9556" width="9.140625" style="5"/>
    <col min="9557" max="9557" width="15.140625" style="5" customWidth="1"/>
    <col min="9558" max="9559" width="9.140625" style="5"/>
    <col min="9560" max="9560" width="11.42578125" style="5" customWidth="1"/>
    <col min="9561" max="9578" width="9.140625" style="5"/>
    <col min="9579" max="9579" width="12.5703125" style="5" customWidth="1"/>
    <col min="9580" max="9580" width="11.5703125" style="5" customWidth="1"/>
    <col min="9581" max="9582" width="9.140625" style="5"/>
    <col min="9583" max="9583" width="11.28515625" style="5" customWidth="1"/>
    <col min="9584" max="9793" width="9.140625" style="5"/>
    <col min="9794" max="9794" width="20.5703125" style="5" customWidth="1"/>
    <col min="9795" max="9801" width="9.140625" style="5"/>
    <col min="9802" max="9802" width="13.140625" style="5" customWidth="1"/>
    <col min="9803" max="9803" width="9.140625" style="5"/>
    <col min="9804" max="9804" width="13.85546875" style="5" customWidth="1"/>
    <col min="9805" max="9806" width="9.140625" style="5"/>
    <col min="9807" max="9807" width="14.42578125" style="5" customWidth="1"/>
    <col min="9808" max="9808" width="12" style="5" customWidth="1"/>
    <col min="9809" max="9812" width="9.140625" style="5"/>
    <col min="9813" max="9813" width="15.140625" style="5" customWidth="1"/>
    <col min="9814" max="9815" width="9.140625" style="5"/>
    <col min="9816" max="9816" width="11.42578125" style="5" customWidth="1"/>
    <col min="9817" max="9834" width="9.140625" style="5"/>
    <col min="9835" max="9835" width="12.5703125" style="5" customWidth="1"/>
    <col min="9836" max="9836" width="11.5703125" style="5" customWidth="1"/>
    <col min="9837" max="9838" width="9.140625" style="5"/>
    <col min="9839" max="9839" width="11.28515625" style="5" customWidth="1"/>
    <col min="9840" max="10049" width="9.140625" style="5"/>
    <col min="10050" max="10050" width="20.5703125" style="5" customWidth="1"/>
    <col min="10051" max="10057" width="9.140625" style="5"/>
    <col min="10058" max="10058" width="13.140625" style="5" customWidth="1"/>
    <col min="10059" max="10059" width="9.140625" style="5"/>
    <col min="10060" max="10060" width="13.85546875" style="5" customWidth="1"/>
    <col min="10061" max="10062" width="9.140625" style="5"/>
    <col min="10063" max="10063" width="14.42578125" style="5" customWidth="1"/>
    <col min="10064" max="10064" width="12" style="5" customWidth="1"/>
    <col min="10065" max="10068" width="9.140625" style="5"/>
    <col min="10069" max="10069" width="15.140625" style="5" customWidth="1"/>
    <col min="10070" max="10071" width="9.140625" style="5"/>
    <col min="10072" max="10072" width="11.42578125" style="5" customWidth="1"/>
    <col min="10073" max="10090" width="9.140625" style="5"/>
    <col min="10091" max="10091" width="12.5703125" style="5" customWidth="1"/>
    <col min="10092" max="10092" width="11.5703125" style="5" customWidth="1"/>
    <col min="10093" max="10094" width="9.140625" style="5"/>
    <col min="10095" max="10095" width="11.28515625" style="5" customWidth="1"/>
    <col min="10096" max="10305" width="9.140625" style="5"/>
    <col min="10306" max="10306" width="20.5703125" style="5" customWidth="1"/>
    <col min="10307" max="10313" width="9.140625" style="5"/>
    <col min="10314" max="10314" width="13.140625" style="5" customWidth="1"/>
    <col min="10315" max="10315" width="9.140625" style="5"/>
    <col min="10316" max="10316" width="13.85546875" style="5" customWidth="1"/>
    <col min="10317" max="10318" width="9.140625" style="5"/>
    <col min="10319" max="10319" width="14.42578125" style="5" customWidth="1"/>
    <col min="10320" max="10320" width="12" style="5" customWidth="1"/>
    <col min="10321" max="10324" width="9.140625" style="5"/>
    <col min="10325" max="10325" width="15.140625" style="5" customWidth="1"/>
    <col min="10326" max="10327" width="9.140625" style="5"/>
    <col min="10328" max="10328" width="11.42578125" style="5" customWidth="1"/>
    <col min="10329" max="10346" width="9.140625" style="5"/>
    <col min="10347" max="10347" width="12.5703125" style="5" customWidth="1"/>
    <col min="10348" max="10348" width="11.5703125" style="5" customWidth="1"/>
    <col min="10349" max="10350" width="9.140625" style="5"/>
    <col min="10351" max="10351" width="11.28515625" style="5" customWidth="1"/>
    <col min="10352" max="10561" width="9.140625" style="5"/>
    <col min="10562" max="10562" width="20.5703125" style="5" customWidth="1"/>
    <col min="10563" max="10569" width="9.140625" style="5"/>
    <col min="10570" max="10570" width="13.140625" style="5" customWidth="1"/>
    <col min="10571" max="10571" width="9.140625" style="5"/>
    <col min="10572" max="10572" width="13.85546875" style="5" customWidth="1"/>
    <col min="10573" max="10574" width="9.140625" style="5"/>
    <col min="10575" max="10575" width="14.42578125" style="5" customWidth="1"/>
    <col min="10576" max="10576" width="12" style="5" customWidth="1"/>
    <col min="10577" max="10580" width="9.140625" style="5"/>
    <col min="10581" max="10581" width="15.140625" style="5" customWidth="1"/>
    <col min="10582" max="10583" width="9.140625" style="5"/>
    <col min="10584" max="10584" width="11.42578125" style="5" customWidth="1"/>
    <col min="10585" max="10602" width="9.140625" style="5"/>
    <col min="10603" max="10603" width="12.5703125" style="5" customWidth="1"/>
    <col min="10604" max="10604" width="11.5703125" style="5" customWidth="1"/>
    <col min="10605" max="10606" width="9.140625" style="5"/>
    <col min="10607" max="10607" width="11.28515625" style="5" customWidth="1"/>
    <col min="10608" max="10817" width="9.140625" style="5"/>
    <col min="10818" max="10818" width="20.5703125" style="5" customWidth="1"/>
    <col min="10819" max="10825" width="9.140625" style="5"/>
    <col min="10826" max="10826" width="13.140625" style="5" customWidth="1"/>
    <col min="10827" max="10827" width="9.140625" style="5"/>
    <col min="10828" max="10828" width="13.85546875" style="5" customWidth="1"/>
    <col min="10829" max="10830" width="9.140625" style="5"/>
    <col min="10831" max="10831" width="14.42578125" style="5" customWidth="1"/>
    <col min="10832" max="10832" width="12" style="5" customWidth="1"/>
    <col min="10833" max="10836" width="9.140625" style="5"/>
    <col min="10837" max="10837" width="15.140625" style="5" customWidth="1"/>
    <col min="10838" max="10839" width="9.140625" style="5"/>
    <col min="10840" max="10840" width="11.42578125" style="5" customWidth="1"/>
    <col min="10841" max="10858" width="9.140625" style="5"/>
    <col min="10859" max="10859" width="12.5703125" style="5" customWidth="1"/>
    <col min="10860" max="10860" width="11.5703125" style="5" customWidth="1"/>
    <col min="10861" max="10862" width="9.140625" style="5"/>
    <col min="10863" max="10863" width="11.28515625" style="5" customWidth="1"/>
    <col min="10864" max="11073" width="9.140625" style="5"/>
    <col min="11074" max="11074" width="20.5703125" style="5" customWidth="1"/>
    <col min="11075" max="11081" width="9.140625" style="5"/>
    <col min="11082" max="11082" width="13.140625" style="5" customWidth="1"/>
    <col min="11083" max="11083" width="9.140625" style="5"/>
    <col min="11084" max="11084" width="13.85546875" style="5" customWidth="1"/>
    <col min="11085" max="11086" width="9.140625" style="5"/>
    <col min="11087" max="11087" width="14.42578125" style="5" customWidth="1"/>
    <col min="11088" max="11088" width="12" style="5" customWidth="1"/>
    <col min="11089" max="11092" width="9.140625" style="5"/>
    <col min="11093" max="11093" width="15.140625" style="5" customWidth="1"/>
    <col min="11094" max="11095" width="9.140625" style="5"/>
    <col min="11096" max="11096" width="11.42578125" style="5" customWidth="1"/>
    <col min="11097" max="11114" width="9.140625" style="5"/>
    <col min="11115" max="11115" width="12.5703125" style="5" customWidth="1"/>
    <col min="11116" max="11116" width="11.5703125" style="5" customWidth="1"/>
    <col min="11117" max="11118" width="9.140625" style="5"/>
    <col min="11119" max="11119" width="11.28515625" style="5" customWidth="1"/>
    <col min="11120" max="11329" width="9.140625" style="5"/>
    <col min="11330" max="11330" width="20.5703125" style="5" customWidth="1"/>
    <col min="11331" max="11337" width="9.140625" style="5"/>
    <col min="11338" max="11338" width="13.140625" style="5" customWidth="1"/>
    <col min="11339" max="11339" width="9.140625" style="5"/>
    <col min="11340" max="11340" width="13.85546875" style="5" customWidth="1"/>
    <col min="11341" max="11342" width="9.140625" style="5"/>
    <col min="11343" max="11343" width="14.42578125" style="5" customWidth="1"/>
    <col min="11344" max="11344" width="12" style="5" customWidth="1"/>
    <col min="11345" max="11348" width="9.140625" style="5"/>
    <col min="11349" max="11349" width="15.140625" style="5" customWidth="1"/>
    <col min="11350" max="11351" width="9.140625" style="5"/>
    <col min="11352" max="11352" width="11.42578125" style="5" customWidth="1"/>
    <col min="11353" max="11370" width="9.140625" style="5"/>
    <col min="11371" max="11371" width="12.5703125" style="5" customWidth="1"/>
    <col min="11372" max="11372" width="11.5703125" style="5" customWidth="1"/>
    <col min="11373" max="11374" width="9.140625" style="5"/>
    <col min="11375" max="11375" width="11.28515625" style="5" customWidth="1"/>
    <col min="11376" max="11585" width="9.140625" style="5"/>
    <col min="11586" max="11586" width="20.5703125" style="5" customWidth="1"/>
    <col min="11587" max="11593" width="9.140625" style="5"/>
    <col min="11594" max="11594" width="13.140625" style="5" customWidth="1"/>
    <col min="11595" max="11595" width="9.140625" style="5"/>
    <col min="11596" max="11596" width="13.85546875" style="5" customWidth="1"/>
    <col min="11597" max="11598" width="9.140625" style="5"/>
    <col min="11599" max="11599" width="14.42578125" style="5" customWidth="1"/>
    <col min="11600" max="11600" width="12" style="5" customWidth="1"/>
    <col min="11601" max="11604" width="9.140625" style="5"/>
    <col min="11605" max="11605" width="15.140625" style="5" customWidth="1"/>
    <col min="11606" max="11607" width="9.140625" style="5"/>
    <col min="11608" max="11608" width="11.42578125" style="5" customWidth="1"/>
    <col min="11609" max="11626" width="9.140625" style="5"/>
    <col min="11627" max="11627" width="12.5703125" style="5" customWidth="1"/>
    <col min="11628" max="11628" width="11.5703125" style="5" customWidth="1"/>
    <col min="11629" max="11630" width="9.140625" style="5"/>
    <col min="11631" max="11631" width="11.28515625" style="5" customWidth="1"/>
    <col min="11632" max="11841" width="9.140625" style="5"/>
    <col min="11842" max="11842" width="20.5703125" style="5" customWidth="1"/>
    <col min="11843" max="11849" width="9.140625" style="5"/>
    <col min="11850" max="11850" width="13.140625" style="5" customWidth="1"/>
    <col min="11851" max="11851" width="9.140625" style="5"/>
    <col min="11852" max="11852" width="13.85546875" style="5" customWidth="1"/>
    <col min="11853" max="11854" width="9.140625" style="5"/>
    <col min="11855" max="11855" width="14.42578125" style="5" customWidth="1"/>
    <col min="11856" max="11856" width="12" style="5" customWidth="1"/>
    <col min="11857" max="11860" width="9.140625" style="5"/>
    <col min="11861" max="11861" width="15.140625" style="5" customWidth="1"/>
    <col min="11862" max="11863" width="9.140625" style="5"/>
    <col min="11864" max="11864" width="11.42578125" style="5" customWidth="1"/>
    <col min="11865" max="11882" width="9.140625" style="5"/>
    <col min="11883" max="11883" width="12.5703125" style="5" customWidth="1"/>
    <col min="11884" max="11884" width="11.5703125" style="5" customWidth="1"/>
    <col min="11885" max="11886" width="9.140625" style="5"/>
    <col min="11887" max="11887" width="11.28515625" style="5" customWidth="1"/>
    <col min="11888" max="12097" width="9.140625" style="5"/>
    <col min="12098" max="12098" width="20.5703125" style="5" customWidth="1"/>
    <col min="12099" max="12105" width="9.140625" style="5"/>
    <col min="12106" max="12106" width="13.140625" style="5" customWidth="1"/>
    <col min="12107" max="12107" width="9.140625" style="5"/>
    <col min="12108" max="12108" width="13.85546875" style="5" customWidth="1"/>
    <col min="12109" max="12110" width="9.140625" style="5"/>
    <col min="12111" max="12111" width="14.42578125" style="5" customWidth="1"/>
    <col min="12112" max="12112" width="12" style="5" customWidth="1"/>
    <col min="12113" max="12116" width="9.140625" style="5"/>
    <col min="12117" max="12117" width="15.140625" style="5" customWidth="1"/>
    <col min="12118" max="12119" width="9.140625" style="5"/>
    <col min="12120" max="12120" width="11.42578125" style="5" customWidth="1"/>
    <col min="12121" max="12138" width="9.140625" style="5"/>
    <col min="12139" max="12139" width="12.5703125" style="5" customWidth="1"/>
    <col min="12140" max="12140" width="11.5703125" style="5" customWidth="1"/>
    <col min="12141" max="12142" width="9.140625" style="5"/>
    <col min="12143" max="12143" width="11.28515625" style="5" customWidth="1"/>
    <col min="12144" max="12353" width="9.140625" style="5"/>
    <col min="12354" max="12354" width="20.5703125" style="5" customWidth="1"/>
    <col min="12355" max="12361" width="9.140625" style="5"/>
    <col min="12362" max="12362" width="13.140625" style="5" customWidth="1"/>
    <col min="12363" max="12363" width="9.140625" style="5"/>
    <col min="12364" max="12364" width="13.85546875" style="5" customWidth="1"/>
    <col min="12365" max="12366" width="9.140625" style="5"/>
    <col min="12367" max="12367" width="14.42578125" style="5" customWidth="1"/>
    <col min="12368" max="12368" width="12" style="5" customWidth="1"/>
    <col min="12369" max="12372" width="9.140625" style="5"/>
    <col min="12373" max="12373" width="15.140625" style="5" customWidth="1"/>
    <col min="12374" max="12375" width="9.140625" style="5"/>
    <col min="12376" max="12376" width="11.42578125" style="5" customWidth="1"/>
    <col min="12377" max="12394" width="9.140625" style="5"/>
    <col min="12395" max="12395" width="12.5703125" style="5" customWidth="1"/>
    <col min="12396" max="12396" width="11.5703125" style="5" customWidth="1"/>
    <col min="12397" max="12398" width="9.140625" style="5"/>
    <col min="12399" max="12399" width="11.28515625" style="5" customWidth="1"/>
    <col min="12400" max="12609" width="9.140625" style="5"/>
    <col min="12610" max="12610" width="20.5703125" style="5" customWidth="1"/>
    <col min="12611" max="12617" width="9.140625" style="5"/>
    <col min="12618" max="12618" width="13.140625" style="5" customWidth="1"/>
    <col min="12619" max="12619" width="9.140625" style="5"/>
    <col min="12620" max="12620" width="13.85546875" style="5" customWidth="1"/>
    <col min="12621" max="12622" width="9.140625" style="5"/>
    <col min="12623" max="12623" width="14.42578125" style="5" customWidth="1"/>
    <col min="12624" max="12624" width="12" style="5" customWidth="1"/>
    <col min="12625" max="12628" width="9.140625" style="5"/>
    <col min="12629" max="12629" width="15.140625" style="5" customWidth="1"/>
    <col min="12630" max="12631" width="9.140625" style="5"/>
    <col min="12632" max="12632" width="11.42578125" style="5" customWidth="1"/>
    <col min="12633" max="12650" width="9.140625" style="5"/>
    <col min="12651" max="12651" width="12.5703125" style="5" customWidth="1"/>
    <col min="12652" max="12652" width="11.5703125" style="5" customWidth="1"/>
    <col min="12653" max="12654" width="9.140625" style="5"/>
    <col min="12655" max="12655" width="11.28515625" style="5" customWidth="1"/>
    <col min="12656" max="12865" width="9.140625" style="5"/>
    <col min="12866" max="12866" width="20.5703125" style="5" customWidth="1"/>
    <col min="12867" max="12873" width="9.140625" style="5"/>
    <col min="12874" max="12874" width="13.140625" style="5" customWidth="1"/>
    <col min="12875" max="12875" width="9.140625" style="5"/>
    <col min="12876" max="12876" width="13.85546875" style="5" customWidth="1"/>
    <col min="12877" max="12878" width="9.140625" style="5"/>
    <col min="12879" max="12879" width="14.42578125" style="5" customWidth="1"/>
    <col min="12880" max="12880" width="12" style="5" customWidth="1"/>
    <col min="12881" max="12884" width="9.140625" style="5"/>
    <col min="12885" max="12885" width="15.140625" style="5" customWidth="1"/>
    <col min="12886" max="12887" width="9.140625" style="5"/>
    <col min="12888" max="12888" width="11.42578125" style="5" customWidth="1"/>
    <col min="12889" max="12906" width="9.140625" style="5"/>
    <col min="12907" max="12907" width="12.5703125" style="5" customWidth="1"/>
    <col min="12908" max="12908" width="11.5703125" style="5" customWidth="1"/>
    <col min="12909" max="12910" width="9.140625" style="5"/>
    <col min="12911" max="12911" width="11.28515625" style="5" customWidth="1"/>
    <col min="12912" max="13121" width="9.140625" style="5"/>
    <col min="13122" max="13122" width="20.5703125" style="5" customWidth="1"/>
    <col min="13123" max="13129" width="9.140625" style="5"/>
    <col min="13130" max="13130" width="13.140625" style="5" customWidth="1"/>
    <col min="13131" max="13131" width="9.140625" style="5"/>
    <col min="13132" max="13132" width="13.85546875" style="5" customWidth="1"/>
    <col min="13133" max="13134" width="9.140625" style="5"/>
    <col min="13135" max="13135" width="14.42578125" style="5" customWidth="1"/>
    <col min="13136" max="13136" width="12" style="5" customWidth="1"/>
    <col min="13137" max="13140" width="9.140625" style="5"/>
    <col min="13141" max="13141" width="15.140625" style="5" customWidth="1"/>
    <col min="13142" max="13143" width="9.140625" style="5"/>
    <col min="13144" max="13144" width="11.42578125" style="5" customWidth="1"/>
    <col min="13145" max="13162" width="9.140625" style="5"/>
    <col min="13163" max="13163" width="12.5703125" style="5" customWidth="1"/>
    <col min="13164" max="13164" width="11.5703125" style="5" customWidth="1"/>
    <col min="13165" max="13166" width="9.140625" style="5"/>
    <col min="13167" max="13167" width="11.28515625" style="5" customWidth="1"/>
    <col min="13168" max="13377" width="9.140625" style="5"/>
    <col min="13378" max="13378" width="20.5703125" style="5" customWidth="1"/>
    <col min="13379" max="13385" width="9.140625" style="5"/>
    <col min="13386" max="13386" width="13.140625" style="5" customWidth="1"/>
    <col min="13387" max="13387" width="9.140625" style="5"/>
    <col min="13388" max="13388" width="13.85546875" style="5" customWidth="1"/>
    <col min="13389" max="13390" width="9.140625" style="5"/>
    <col min="13391" max="13391" width="14.42578125" style="5" customWidth="1"/>
    <col min="13392" max="13392" width="12" style="5" customWidth="1"/>
    <col min="13393" max="13396" width="9.140625" style="5"/>
    <col min="13397" max="13397" width="15.140625" style="5" customWidth="1"/>
    <col min="13398" max="13399" width="9.140625" style="5"/>
    <col min="13400" max="13400" width="11.42578125" style="5" customWidth="1"/>
    <col min="13401" max="13418" width="9.140625" style="5"/>
    <col min="13419" max="13419" width="12.5703125" style="5" customWidth="1"/>
    <col min="13420" max="13420" width="11.5703125" style="5" customWidth="1"/>
    <col min="13421" max="13422" width="9.140625" style="5"/>
    <col min="13423" max="13423" width="11.28515625" style="5" customWidth="1"/>
    <col min="13424" max="13633" width="9.140625" style="5"/>
    <col min="13634" max="13634" width="20.5703125" style="5" customWidth="1"/>
    <col min="13635" max="13641" width="9.140625" style="5"/>
    <col min="13642" max="13642" width="13.140625" style="5" customWidth="1"/>
    <col min="13643" max="13643" width="9.140625" style="5"/>
    <col min="13644" max="13644" width="13.85546875" style="5" customWidth="1"/>
    <col min="13645" max="13646" width="9.140625" style="5"/>
    <col min="13647" max="13647" width="14.42578125" style="5" customWidth="1"/>
    <col min="13648" max="13648" width="12" style="5" customWidth="1"/>
    <col min="13649" max="13652" width="9.140625" style="5"/>
    <col min="13653" max="13653" width="15.140625" style="5" customWidth="1"/>
    <col min="13654" max="13655" width="9.140625" style="5"/>
    <col min="13656" max="13656" width="11.42578125" style="5" customWidth="1"/>
    <col min="13657" max="13674" width="9.140625" style="5"/>
    <col min="13675" max="13675" width="12.5703125" style="5" customWidth="1"/>
    <col min="13676" max="13676" width="11.5703125" style="5" customWidth="1"/>
    <col min="13677" max="13678" width="9.140625" style="5"/>
    <col min="13679" max="13679" width="11.28515625" style="5" customWidth="1"/>
    <col min="13680" max="13889" width="9.140625" style="5"/>
    <col min="13890" max="13890" width="20.5703125" style="5" customWidth="1"/>
    <col min="13891" max="13897" width="9.140625" style="5"/>
    <col min="13898" max="13898" width="13.140625" style="5" customWidth="1"/>
    <col min="13899" max="13899" width="9.140625" style="5"/>
    <col min="13900" max="13900" width="13.85546875" style="5" customWidth="1"/>
    <col min="13901" max="13902" width="9.140625" style="5"/>
    <col min="13903" max="13903" width="14.42578125" style="5" customWidth="1"/>
    <col min="13904" max="13904" width="12" style="5" customWidth="1"/>
    <col min="13905" max="13908" width="9.140625" style="5"/>
    <col min="13909" max="13909" width="15.140625" style="5" customWidth="1"/>
    <col min="13910" max="13911" width="9.140625" style="5"/>
    <col min="13912" max="13912" width="11.42578125" style="5" customWidth="1"/>
    <col min="13913" max="13930" width="9.140625" style="5"/>
    <col min="13931" max="13931" width="12.5703125" style="5" customWidth="1"/>
    <col min="13932" max="13932" width="11.5703125" style="5" customWidth="1"/>
    <col min="13933" max="13934" width="9.140625" style="5"/>
    <col min="13935" max="13935" width="11.28515625" style="5" customWidth="1"/>
    <col min="13936" max="14145" width="9.140625" style="5"/>
    <col min="14146" max="14146" width="20.5703125" style="5" customWidth="1"/>
    <col min="14147" max="14153" width="9.140625" style="5"/>
    <col min="14154" max="14154" width="13.140625" style="5" customWidth="1"/>
    <col min="14155" max="14155" width="9.140625" style="5"/>
    <col min="14156" max="14156" width="13.85546875" style="5" customWidth="1"/>
    <col min="14157" max="14158" width="9.140625" style="5"/>
    <col min="14159" max="14159" width="14.42578125" style="5" customWidth="1"/>
    <col min="14160" max="14160" width="12" style="5" customWidth="1"/>
    <col min="14161" max="14164" width="9.140625" style="5"/>
    <col min="14165" max="14165" width="15.140625" style="5" customWidth="1"/>
    <col min="14166" max="14167" width="9.140625" style="5"/>
    <col min="14168" max="14168" width="11.42578125" style="5" customWidth="1"/>
    <col min="14169" max="14186" width="9.140625" style="5"/>
    <col min="14187" max="14187" width="12.5703125" style="5" customWidth="1"/>
    <col min="14188" max="14188" width="11.5703125" style="5" customWidth="1"/>
    <col min="14189" max="14190" width="9.140625" style="5"/>
    <col min="14191" max="14191" width="11.28515625" style="5" customWidth="1"/>
    <col min="14192" max="14401" width="9.140625" style="5"/>
    <col min="14402" max="14402" width="20.5703125" style="5" customWidth="1"/>
    <col min="14403" max="14409" width="9.140625" style="5"/>
    <col min="14410" max="14410" width="13.140625" style="5" customWidth="1"/>
    <col min="14411" max="14411" width="9.140625" style="5"/>
    <col min="14412" max="14412" width="13.85546875" style="5" customWidth="1"/>
    <col min="14413" max="14414" width="9.140625" style="5"/>
    <col min="14415" max="14415" width="14.42578125" style="5" customWidth="1"/>
    <col min="14416" max="14416" width="12" style="5" customWidth="1"/>
    <col min="14417" max="14420" width="9.140625" style="5"/>
    <col min="14421" max="14421" width="15.140625" style="5" customWidth="1"/>
    <col min="14422" max="14423" width="9.140625" style="5"/>
    <col min="14424" max="14424" width="11.42578125" style="5" customWidth="1"/>
    <col min="14425" max="14442" width="9.140625" style="5"/>
    <col min="14443" max="14443" width="12.5703125" style="5" customWidth="1"/>
    <col min="14444" max="14444" width="11.5703125" style="5" customWidth="1"/>
    <col min="14445" max="14446" width="9.140625" style="5"/>
    <col min="14447" max="14447" width="11.28515625" style="5" customWidth="1"/>
    <col min="14448" max="14657" width="9.140625" style="5"/>
    <col min="14658" max="14658" width="20.5703125" style="5" customWidth="1"/>
    <col min="14659" max="14665" width="9.140625" style="5"/>
    <col min="14666" max="14666" width="13.140625" style="5" customWidth="1"/>
    <col min="14667" max="14667" width="9.140625" style="5"/>
    <col min="14668" max="14668" width="13.85546875" style="5" customWidth="1"/>
    <col min="14669" max="14670" width="9.140625" style="5"/>
    <col min="14671" max="14671" width="14.42578125" style="5" customWidth="1"/>
    <col min="14672" max="14672" width="12" style="5" customWidth="1"/>
    <col min="14673" max="14676" width="9.140625" style="5"/>
    <col min="14677" max="14677" width="15.140625" style="5" customWidth="1"/>
    <col min="14678" max="14679" width="9.140625" style="5"/>
    <col min="14680" max="14680" width="11.42578125" style="5" customWidth="1"/>
    <col min="14681" max="14698" width="9.140625" style="5"/>
    <col min="14699" max="14699" width="12.5703125" style="5" customWidth="1"/>
    <col min="14700" max="14700" width="11.5703125" style="5" customWidth="1"/>
    <col min="14701" max="14702" width="9.140625" style="5"/>
    <col min="14703" max="14703" width="11.28515625" style="5" customWidth="1"/>
    <col min="14704" max="14913" width="9.140625" style="5"/>
    <col min="14914" max="14914" width="20.5703125" style="5" customWidth="1"/>
    <col min="14915" max="14921" width="9.140625" style="5"/>
    <col min="14922" max="14922" width="13.140625" style="5" customWidth="1"/>
    <col min="14923" max="14923" width="9.140625" style="5"/>
    <col min="14924" max="14924" width="13.85546875" style="5" customWidth="1"/>
    <col min="14925" max="14926" width="9.140625" style="5"/>
    <col min="14927" max="14927" width="14.42578125" style="5" customWidth="1"/>
    <col min="14928" max="14928" width="12" style="5" customWidth="1"/>
    <col min="14929" max="14932" width="9.140625" style="5"/>
    <col min="14933" max="14933" width="15.140625" style="5" customWidth="1"/>
    <col min="14934" max="14935" width="9.140625" style="5"/>
    <col min="14936" max="14936" width="11.42578125" style="5" customWidth="1"/>
    <col min="14937" max="14954" width="9.140625" style="5"/>
    <col min="14955" max="14955" width="12.5703125" style="5" customWidth="1"/>
    <col min="14956" max="14956" width="11.5703125" style="5" customWidth="1"/>
    <col min="14957" max="14958" width="9.140625" style="5"/>
    <col min="14959" max="14959" width="11.28515625" style="5" customWidth="1"/>
    <col min="14960" max="15169" width="9.140625" style="5"/>
    <col min="15170" max="15170" width="20.5703125" style="5" customWidth="1"/>
    <col min="15171" max="15177" width="9.140625" style="5"/>
    <col min="15178" max="15178" width="13.140625" style="5" customWidth="1"/>
    <col min="15179" max="15179" width="9.140625" style="5"/>
    <col min="15180" max="15180" width="13.85546875" style="5" customWidth="1"/>
    <col min="15181" max="15182" width="9.140625" style="5"/>
    <col min="15183" max="15183" width="14.42578125" style="5" customWidth="1"/>
    <col min="15184" max="15184" width="12" style="5" customWidth="1"/>
    <col min="15185" max="15188" width="9.140625" style="5"/>
    <col min="15189" max="15189" width="15.140625" style="5" customWidth="1"/>
    <col min="15190" max="15191" width="9.140625" style="5"/>
    <col min="15192" max="15192" width="11.42578125" style="5" customWidth="1"/>
    <col min="15193" max="15210" width="9.140625" style="5"/>
    <col min="15211" max="15211" width="12.5703125" style="5" customWidth="1"/>
    <col min="15212" max="15212" width="11.5703125" style="5" customWidth="1"/>
    <col min="15213" max="15214" width="9.140625" style="5"/>
    <col min="15215" max="15215" width="11.28515625" style="5" customWidth="1"/>
    <col min="15216" max="15425" width="9.140625" style="5"/>
    <col min="15426" max="15426" width="20.5703125" style="5" customWidth="1"/>
    <col min="15427" max="15433" width="9.140625" style="5"/>
    <col min="15434" max="15434" width="13.140625" style="5" customWidth="1"/>
    <col min="15435" max="15435" width="9.140625" style="5"/>
    <col min="15436" max="15436" width="13.85546875" style="5" customWidth="1"/>
    <col min="15437" max="15438" width="9.140625" style="5"/>
    <col min="15439" max="15439" width="14.42578125" style="5" customWidth="1"/>
    <col min="15440" max="15440" width="12" style="5" customWidth="1"/>
    <col min="15441" max="15444" width="9.140625" style="5"/>
    <col min="15445" max="15445" width="15.140625" style="5" customWidth="1"/>
    <col min="15446" max="15447" width="9.140625" style="5"/>
    <col min="15448" max="15448" width="11.42578125" style="5" customWidth="1"/>
    <col min="15449" max="15466" width="9.140625" style="5"/>
    <col min="15467" max="15467" width="12.5703125" style="5" customWidth="1"/>
    <col min="15468" max="15468" width="11.5703125" style="5" customWidth="1"/>
    <col min="15469" max="15470" width="9.140625" style="5"/>
    <col min="15471" max="15471" width="11.28515625" style="5" customWidth="1"/>
    <col min="15472" max="15681" width="9.140625" style="5"/>
    <col min="15682" max="15682" width="20.5703125" style="5" customWidth="1"/>
    <col min="15683" max="15689" width="9.140625" style="5"/>
    <col min="15690" max="15690" width="13.140625" style="5" customWidth="1"/>
    <col min="15691" max="15691" width="9.140625" style="5"/>
    <col min="15692" max="15692" width="13.85546875" style="5" customWidth="1"/>
    <col min="15693" max="15694" width="9.140625" style="5"/>
    <col min="15695" max="15695" width="14.42578125" style="5" customWidth="1"/>
    <col min="15696" max="15696" width="12" style="5" customWidth="1"/>
    <col min="15697" max="15700" width="9.140625" style="5"/>
    <col min="15701" max="15701" width="15.140625" style="5" customWidth="1"/>
    <col min="15702" max="15703" width="9.140625" style="5"/>
    <col min="15704" max="15704" width="11.42578125" style="5" customWidth="1"/>
    <col min="15705" max="15722" width="9.140625" style="5"/>
    <col min="15723" max="15723" width="12.5703125" style="5" customWidth="1"/>
    <col min="15724" max="15724" width="11.5703125" style="5" customWidth="1"/>
    <col min="15725" max="15726" width="9.140625" style="5"/>
    <col min="15727" max="15727" width="11.28515625" style="5" customWidth="1"/>
    <col min="15728" max="15937" width="9.140625" style="5"/>
    <col min="15938" max="15938" width="20.5703125" style="5" customWidth="1"/>
    <col min="15939" max="15945" width="9.140625" style="5"/>
    <col min="15946" max="15946" width="13.140625" style="5" customWidth="1"/>
    <col min="15947" max="15947" width="9.140625" style="5"/>
    <col min="15948" max="15948" width="13.85546875" style="5" customWidth="1"/>
    <col min="15949" max="15950" width="9.140625" style="5"/>
    <col min="15951" max="15951" width="14.42578125" style="5" customWidth="1"/>
    <col min="15952" max="15952" width="12" style="5" customWidth="1"/>
    <col min="15953" max="15956" width="9.140625" style="5"/>
    <col min="15957" max="15957" width="15.140625" style="5" customWidth="1"/>
    <col min="15958" max="15959" width="9.140625" style="5"/>
    <col min="15960" max="15960" width="11.42578125" style="5" customWidth="1"/>
    <col min="15961" max="15978" width="9.140625" style="5"/>
    <col min="15979" max="15979" width="12.5703125" style="5" customWidth="1"/>
    <col min="15980" max="15980" width="11.5703125" style="5" customWidth="1"/>
    <col min="15981" max="15982" width="9.140625" style="5"/>
    <col min="15983" max="15983" width="11.28515625" style="5" customWidth="1"/>
    <col min="15984" max="16193" width="9.140625" style="5"/>
    <col min="16194" max="16194" width="20.5703125" style="5" customWidth="1"/>
    <col min="16195" max="16201" width="9.140625" style="5"/>
    <col min="16202" max="16202" width="13.140625" style="5" customWidth="1"/>
    <col min="16203" max="16203" width="9.140625" style="5"/>
    <col min="16204" max="16204" width="13.85546875" style="5" customWidth="1"/>
    <col min="16205" max="16206" width="9.140625" style="5"/>
    <col min="16207" max="16207" width="14.42578125" style="5" customWidth="1"/>
    <col min="16208" max="16208" width="12" style="5" customWidth="1"/>
    <col min="16209" max="16212" width="9.140625" style="5"/>
    <col min="16213" max="16213" width="15.140625" style="5" customWidth="1"/>
    <col min="16214" max="16215" width="9.140625" style="5"/>
    <col min="16216" max="16216" width="11.42578125" style="5" customWidth="1"/>
    <col min="16217" max="16234" width="9.140625" style="5"/>
    <col min="16235" max="16235" width="12.5703125" style="5" customWidth="1"/>
    <col min="16236" max="16236" width="11.5703125" style="5" customWidth="1"/>
    <col min="16237" max="16238" width="9.140625" style="5"/>
    <col min="16239" max="16239" width="11.28515625" style="5" customWidth="1"/>
    <col min="16240" max="16384" width="9.140625" style="5"/>
  </cols>
  <sheetData>
    <row r="1" spans="1:103" ht="63.75" customHeight="1">
      <c r="A1" s="216" t="s">
        <v>992</v>
      </c>
      <c r="B1" s="216" t="s">
        <v>18</v>
      </c>
      <c r="C1" s="216" t="s">
        <v>306</v>
      </c>
      <c r="D1" s="216" t="s">
        <v>993</v>
      </c>
      <c r="E1" s="217" t="s">
        <v>996</v>
      </c>
      <c r="F1" s="217" t="s">
        <v>1934</v>
      </c>
      <c r="G1" s="217" t="s">
        <v>1935</v>
      </c>
      <c r="H1" s="217" t="s">
        <v>1983</v>
      </c>
      <c r="I1" s="216" t="s">
        <v>994</v>
      </c>
      <c r="J1" s="216" t="s">
        <v>1984</v>
      </c>
      <c r="K1" s="216" t="s">
        <v>1985</v>
      </c>
      <c r="L1" s="216" t="s">
        <v>1986</v>
      </c>
      <c r="M1" s="216" t="s">
        <v>1987</v>
      </c>
      <c r="N1" s="216" t="s">
        <v>1021</v>
      </c>
      <c r="O1" s="216" t="s">
        <v>1020</v>
      </c>
      <c r="P1" s="216" t="s">
        <v>995</v>
      </c>
      <c r="Q1" s="216" t="s">
        <v>1936</v>
      </c>
      <c r="R1" s="216" t="s">
        <v>1937</v>
      </c>
      <c r="S1" s="216" t="s">
        <v>1938</v>
      </c>
      <c r="T1" s="216" t="s">
        <v>1939</v>
      </c>
      <c r="U1" s="216" t="s">
        <v>1940</v>
      </c>
      <c r="V1" s="216" t="s">
        <v>1941</v>
      </c>
      <c r="W1" s="216" t="s">
        <v>1942</v>
      </c>
      <c r="X1" s="216" t="s">
        <v>1943</v>
      </c>
      <c r="Y1" s="216" t="s">
        <v>1944</v>
      </c>
      <c r="Z1" s="216" t="s">
        <v>1945</v>
      </c>
      <c r="AA1" s="216" t="s">
        <v>1946</v>
      </c>
      <c r="AB1" s="216" t="s">
        <v>1947</v>
      </c>
      <c r="AC1" s="216" t="s">
        <v>1948</v>
      </c>
      <c r="AD1" s="216" t="s">
        <v>1949</v>
      </c>
      <c r="AE1" s="216" t="s">
        <v>1950</v>
      </c>
      <c r="AF1" s="216" t="s">
        <v>1951</v>
      </c>
      <c r="AG1" s="216" t="s">
        <v>1952</v>
      </c>
      <c r="AH1" s="216" t="s">
        <v>1953</v>
      </c>
      <c r="AI1" s="216" t="s">
        <v>1954</v>
      </c>
      <c r="AJ1" s="216" t="s">
        <v>1991</v>
      </c>
      <c r="AK1" s="216" t="s">
        <v>1992</v>
      </c>
      <c r="AL1" s="216" t="s">
        <v>1993</v>
      </c>
      <c r="AM1" s="216" t="s">
        <v>1994</v>
      </c>
      <c r="AN1" s="216" t="s">
        <v>1995</v>
      </c>
      <c r="AO1" s="216" t="s">
        <v>1955</v>
      </c>
      <c r="AP1" s="216" t="s">
        <v>1956</v>
      </c>
      <c r="AQ1" s="216" t="s">
        <v>1957</v>
      </c>
      <c r="AR1" s="216" t="s">
        <v>1958</v>
      </c>
      <c r="AS1" s="216" t="s">
        <v>1959</v>
      </c>
      <c r="AT1" s="216" t="s">
        <v>1960</v>
      </c>
      <c r="AU1" s="216" t="s">
        <v>1961</v>
      </c>
      <c r="AV1" s="216" t="s">
        <v>1962</v>
      </c>
      <c r="AW1" s="216" t="s">
        <v>1963</v>
      </c>
      <c r="AX1" s="216" t="s">
        <v>1964</v>
      </c>
      <c r="AY1" s="216" t="s">
        <v>1965</v>
      </c>
      <c r="AZ1" s="216" t="s">
        <v>1966</v>
      </c>
      <c r="BA1" s="216" t="s">
        <v>1967</v>
      </c>
      <c r="BB1" s="216" t="s">
        <v>1968</v>
      </c>
      <c r="BC1" s="216" t="s">
        <v>1969</v>
      </c>
      <c r="BD1" s="216" t="s">
        <v>1145</v>
      </c>
      <c r="BE1" s="216" t="s">
        <v>1146</v>
      </c>
      <c r="BF1" s="216" t="s">
        <v>1147</v>
      </c>
      <c r="BG1" s="216" t="s">
        <v>1148</v>
      </c>
      <c r="BH1" s="216" t="s">
        <v>1149</v>
      </c>
      <c r="BI1" s="216" t="s">
        <v>1150</v>
      </c>
      <c r="BJ1" s="216" t="s">
        <v>1151</v>
      </c>
      <c r="BK1" s="216" t="s">
        <v>1152</v>
      </c>
      <c r="BL1" s="216" t="s">
        <v>1153</v>
      </c>
      <c r="BM1" s="216" t="s">
        <v>1154</v>
      </c>
      <c r="BN1" s="216" t="s">
        <v>1155</v>
      </c>
      <c r="BO1" s="216" t="s">
        <v>1156</v>
      </c>
      <c r="BP1" s="216" t="s">
        <v>1157</v>
      </c>
      <c r="BQ1" s="216" t="s">
        <v>1158</v>
      </c>
      <c r="BR1" s="216" t="s">
        <v>1159</v>
      </c>
      <c r="BS1" s="216" t="s">
        <v>1160</v>
      </c>
      <c r="BT1" s="216" t="s">
        <v>1161</v>
      </c>
      <c r="BU1" s="216" t="s">
        <v>1162</v>
      </c>
      <c r="BV1" s="216" t="s">
        <v>1163</v>
      </c>
      <c r="BW1" s="216" t="s">
        <v>1164</v>
      </c>
      <c r="BX1" s="216" t="s">
        <v>1165</v>
      </c>
      <c r="BY1" s="216" t="s">
        <v>1166</v>
      </c>
      <c r="BZ1" s="216" t="s">
        <v>1167</v>
      </c>
      <c r="CA1" s="216" t="s">
        <v>1168</v>
      </c>
      <c r="CB1" s="216" t="s">
        <v>1169</v>
      </c>
      <c r="CC1" s="216" t="s">
        <v>1170</v>
      </c>
      <c r="CD1" s="216" t="s">
        <v>1019</v>
      </c>
      <c r="CE1" s="216" t="s">
        <v>1171</v>
      </c>
      <c r="CF1" s="216" t="s">
        <v>1172</v>
      </c>
      <c r="CG1" s="216" t="s">
        <v>1173</v>
      </c>
      <c r="CH1" s="216" t="s">
        <v>1174</v>
      </c>
      <c r="CI1" s="216" t="s">
        <v>1175</v>
      </c>
      <c r="CJ1" s="216" t="s">
        <v>1176</v>
      </c>
      <c r="CK1" s="216" t="s">
        <v>1177</v>
      </c>
      <c r="CL1" s="216" t="s">
        <v>1178</v>
      </c>
      <c r="CM1" s="216" t="s">
        <v>1179</v>
      </c>
      <c r="CN1" s="216" t="s">
        <v>1970</v>
      </c>
      <c r="CO1" s="216" t="s">
        <v>1971</v>
      </c>
      <c r="CP1" s="216" t="s">
        <v>1972</v>
      </c>
      <c r="CQ1" s="216" t="s">
        <v>1973</v>
      </c>
      <c r="CR1" s="216" t="s">
        <v>1974</v>
      </c>
      <c r="CS1" s="216" t="s">
        <v>1975</v>
      </c>
      <c r="CT1" s="216" t="s">
        <v>1976</v>
      </c>
      <c r="CU1" s="216" t="s">
        <v>1977</v>
      </c>
      <c r="CV1" s="216" t="s">
        <v>1978</v>
      </c>
      <c r="CW1" s="216" t="s">
        <v>1979</v>
      </c>
      <c r="CX1" s="216" t="s">
        <v>1980</v>
      </c>
      <c r="CY1" s="216" t="s">
        <v>1981</v>
      </c>
    </row>
    <row r="2" spans="1:103" ht="50.25" customHeight="1">
      <c r="A2" s="220" t="str">
        <f>Титульный!B10</f>
        <v xml:space="preserve"> </v>
      </c>
      <c r="B2" s="567">
        <f>Титульный!B9</f>
        <v>0</v>
      </c>
      <c r="C2" s="567">
        <f>Титульный!B23</f>
        <v>0</v>
      </c>
      <c r="D2" s="218"/>
      <c r="E2" s="219"/>
      <c r="F2" s="218"/>
      <c r="G2" s="220">
        <f>IF(Титульный!$B$17="2016-2018",'данные об организации'!A17,'данные об организации'!G17)</f>
        <v>0</v>
      </c>
      <c r="H2" s="225">
        <f>IF(Титульный!$B$17="2016-2018",'данные об организации'!B17,'данные об организации'!H17)</f>
        <v>42339</v>
      </c>
      <c r="I2" s="1327"/>
      <c r="J2" s="1069">
        <f>IF(Титульный!B17="2016-2018",2016,2017)</f>
        <v>2016</v>
      </c>
      <c r="K2" s="1069">
        <f>J2+1</f>
        <v>2017</v>
      </c>
      <c r="L2" s="1069">
        <f>K2+1</f>
        <v>2018</v>
      </c>
      <c r="M2" s="1069" t="str">
        <f>IF(Титульный!B17="2016-2018","01.01.2016","01.01.2017")</f>
        <v>01.01.2016</v>
      </c>
      <c r="N2" s="1328" t="str">
        <f>IF(Титульный!B17="2016-2018","1 января 2016","1 января 2017")</f>
        <v>1 января 2016</v>
      </c>
      <c r="O2" s="225" t="str">
        <f>ППсогл!C4</f>
        <v xml:space="preserve">    </v>
      </c>
      <c r="P2" s="1329" t="s">
        <v>997</v>
      </c>
      <c r="Q2" s="1067">
        <f>ROUND('НВВ базовый расчет'!D21/1000,2)</f>
        <v>0</v>
      </c>
      <c r="R2" s="1067">
        <f>IF(Титульный!B17="2016-2018",IF(НВВ2017!$E$12=0,,ROUND(Q2*НВВ2017!$E$11/НВВ2017!$E$12,2)),ROUND(ПП!X23,2))</f>
        <v>0</v>
      </c>
      <c r="S2" s="1067">
        <f>IF(Титульный!B17="2016-2018",ROUND(ПП!X23,2),ROUND('ПП2017-2019'!H15,2))</f>
        <v>0</v>
      </c>
      <c r="T2" s="1067">
        <f>ROUND('НВВ базовый расчет'!D73/1000,2)</f>
        <v>0</v>
      </c>
      <c r="U2" s="1067">
        <f>IF(Титульный!B17="2016-2018",ROUND(НВВ2017!E43/1000,2),ROUND('НВВск и тариф'!E47/1000,2))</f>
        <v>0</v>
      </c>
      <c r="V2" s="1067">
        <f>IF(Титульный!B17="2016-2018",ROUND('НВВск и тариф'!E47/1000,2),ROUND('НВВ базовый расчет'!L73/1000,2))</f>
        <v>0</v>
      </c>
      <c r="W2" s="1067">
        <f>ROUND('НВВ базовый расчет'!D72/1000,2)</f>
        <v>0</v>
      </c>
      <c r="X2" s="1067">
        <f>IF(Титульный!B17="2016-2018",ROUND(НВВ2017!E42/1000,2),ROUND('НВВск и тариф'!E46/1000,2))</f>
        <v>0</v>
      </c>
      <c r="Y2" s="1067">
        <f>IF(Титульный!B17="2016-2018",ROUND('НВВск и тариф'!E46/1000,2),ROUND('НВВ базовый расчет'!L72/1000,2))</f>
        <v>0</v>
      </c>
      <c r="Z2" s="1067">
        <f>IF(P2="на техническую воду","-",IF(P2="на транспортировку воды","-",IF(Титульный!B17="2016-2018",ROUND('ПП 2016-2018'!F37,2),ROUND('ПП2017-2019'!F37,2))))</f>
        <v>0</v>
      </c>
      <c r="AA2" s="1330">
        <f>IF(P2="на техническую воду","-",IF(P2="на транспортировку воды","-",IF(Титульный!B17="2016-2018",ROUND('ПП 2016-2018'!G37,2),ROUND(ПП!X45,2))))</f>
        <v>0</v>
      </c>
      <c r="AB2" s="1067">
        <f>IF(P2="на техническую воду","-",IF(P2="на транспортировку воды","-",IF(Титульный!B17="2016-2018",ROUND(ПП!X45,2),ROUND('ПП2017-2019'!H37,2))))</f>
        <v>0</v>
      </c>
      <c r="AC2" s="1067" t="str">
        <f>IF(Z2=0,"-",IF(Z2="-","-",IF(AA2="-","-",ROUND(AA2/Z2,3))))</f>
        <v>-</v>
      </c>
      <c r="AD2" s="1067" t="str">
        <f>IF(AA2=0,"-",IF(AA2="-","-",IF(AB2="-","-",ROUND(AB2/AA2,3))))</f>
        <v>-</v>
      </c>
      <c r="AE2" s="1067">
        <f>IF(P2="на техническую воду","-",IF(Титульный!B17="2016-2018",ROUND('ПП 2016-2018'!F38,2),ROUND('ПП2017-2019'!F39,2)))</f>
        <v>0</v>
      </c>
      <c r="AF2" s="1330">
        <f>IF(P2="на техническую воду","-",IF(Титульный!B17="2016-2018",ROUND('ПП 2016-2018'!G38,2),ROUND(ПП!X46,2)))</f>
        <v>0</v>
      </c>
      <c r="AG2" s="1067">
        <f>IF(P2="на техническую воду","-",IF(Титульный!B17="2016-2018",ROUND(ПП!X46,2),ROUND('ПП2017-2019'!H39,2)))</f>
        <v>0</v>
      </c>
      <c r="AH2" s="1067" t="str">
        <f>IF(AE2=0,"-",IF(AE2="-","-",IF(AF2="-","-",ROUND(AF2/AE2,3))))</f>
        <v>-</v>
      </c>
      <c r="AI2" s="1067" t="str">
        <f>IF(AF2=0,"-",IF(AF2="-","-",IF(AG2="-","-",ROUND(AG2/AF2,3))))</f>
        <v>-</v>
      </c>
      <c r="AJ2" s="1067">
        <f>IF(Титульный!B17="2016-2018",ROUND('ПП 2016-2018'!F40,2),ROUND('ПП2017-2019'!F42,2))</f>
        <v>0</v>
      </c>
      <c r="AK2" s="1330">
        <f>IF(Титульный!B17="2016-2018",ROUND('ПП 2016-2018'!G40,2),ROUND(ПП!X48,2))</f>
        <v>0</v>
      </c>
      <c r="AL2" s="1067">
        <f>IF(Титульный!B17="2016-2018",ROUND(ПП!X48,2),ROUND('ПП2017-2019'!H42,2))</f>
        <v>0</v>
      </c>
      <c r="AM2" s="1067" t="str">
        <f>IF(AJ2=0,"-",IF(AJ2="-","-",IF(AK2="-","-",ROUND(AK2/AJ2,3))))</f>
        <v>-</v>
      </c>
      <c r="AN2" s="1067" t="str">
        <f>IF(AK2=0,"-",IF(AK2="-","-",IF(AL2="-","-",ROUND(AL2/AK2,3))))</f>
        <v>-</v>
      </c>
      <c r="AO2" s="1067">
        <f>IF(Титульный!$B$17="2016-2018",ROUND('ПП 2016-2018'!F42,2),ROUND('ПП2017-2019'!F45,2))</f>
        <v>0</v>
      </c>
      <c r="AP2" s="1067">
        <f>IF(Титульный!$B$17="2016-2018",ROUND('ПП 2016-2018'!G42,2),ROUND('ПП2017-2019'!G45,2))</f>
        <v>0</v>
      </c>
      <c r="AQ2" s="1067">
        <f>IF(Титульный!$B$17="2016-2018",ROUND('ПП 2016-2018'!H42,2),ROUND('ПП2017-2019'!H45,2))</f>
        <v>0</v>
      </c>
      <c r="AR2" s="1067" t="str">
        <f>IF(AO2=0,"-",IF(AO2="-","-",IF(AP2="-","-",ROUND(AP2/AO2,3))))</f>
        <v>-</v>
      </c>
      <c r="AS2" s="1067" t="str">
        <f>IF(AP2=0,"-",IF(AP2="-","-",IF(AQ2="-","-",ROUND(AQ2/AP2,3))))</f>
        <v>-</v>
      </c>
      <c r="AT2" s="1067">
        <f>IF(Титульный!$B$17="2016-2018",ROUND('ПП 2016-2018'!F43,2),ROUND('ПП2017-2019'!F47,2))</f>
        <v>0</v>
      </c>
      <c r="AU2" s="1067">
        <f>IF(Титульный!$B$17="2016-2018",ROUND('ПП 2016-2018'!G43,2),ROUND('ПП2017-2019'!G47,2))</f>
        <v>0</v>
      </c>
      <c r="AV2" s="1067">
        <f>IF(Титульный!$B$17="2016-2018",ROUND('ПП 2016-2018'!H43,2),ROUND('ПП2017-2019'!H47,2))</f>
        <v>0</v>
      </c>
      <c r="AW2" s="1067" t="str">
        <f>IF(AT2=0,"-",IF(AT2="-","-",IF(AU2="-","-",ROUND(AU2/AT2,3))))</f>
        <v>-</v>
      </c>
      <c r="AX2" s="1067" t="str">
        <f>IF(AU2=0,"-",IF(AU2="-","-",IF(AV2="-","-",ROUND(AV2/AU2,3))))</f>
        <v>-</v>
      </c>
      <c r="AY2" s="1067">
        <f>IF(Титульный!$B$17="2016-2018",ROUND('ПП 2016-2018'!F44,2),ROUND('ПП2017-2019'!F49,2))</f>
        <v>0</v>
      </c>
      <c r="AZ2" s="1067">
        <f>IF(Титульный!$B$17="2016-2018",ROUND('ПП 2016-2018'!G44,2),ROUND('ПП2017-2019'!G49,2))</f>
        <v>0</v>
      </c>
      <c r="BA2" s="1067">
        <f>IF(Титульный!$B$17="2016-2018",ROUND('ПП 2016-2018'!H44,2),ROUND('ПП2017-2019'!H49,2))</f>
        <v>0</v>
      </c>
      <c r="BB2" s="1067" t="str">
        <f>IF(AY2=0,"-",IF(AY2="-","-",IF(AZ2="-","-",ROUND(AZ2/AY2,3))))</f>
        <v>-</v>
      </c>
      <c r="BC2" s="1067" t="str">
        <f>IF(AZ2=0,"-",IF(AZ2="-","-",IF(BA2="-","-",ROUND(BA2/AZ2,3))))</f>
        <v>-</v>
      </c>
      <c r="BD2" s="1067">
        <f>ROUND(отчетПП!F15,2)</f>
        <v>0</v>
      </c>
      <c r="BE2" s="1067">
        <f>ROUND(отчетПП!G15,2)</f>
        <v>0</v>
      </c>
      <c r="BF2" s="1067">
        <f>ROUND(BE2-BD2,2)</f>
        <v>0</v>
      </c>
      <c r="BG2" s="1067">
        <f>ROUND(отчетПП!F16,2)</f>
        <v>0</v>
      </c>
      <c r="BH2" s="1067">
        <f>ROUND(отчетПП!G16,2)</f>
        <v>0</v>
      </c>
      <c r="BI2" s="1067">
        <f>ROUND(BH2-BG2,2)</f>
        <v>0</v>
      </c>
      <c r="BJ2" s="1067">
        <f>ROUND(отчетПП!F17,2)</f>
        <v>0</v>
      </c>
      <c r="BK2" s="1067">
        <f>ROUND(отчетПП!G17,2)</f>
        <v>0</v>
      </c>
      <c r="BL2" s="1067">
        <f>ROUND(BK2-BJ2,2)</f>
        <v>0</v>
      </c>
      <c r="BM2" s="1067">
        <f>ROUND(BD2+BG2+BJ2,2)</f>
        <v>0</v>
      </c>
      <c r="BN2" s="1067">
        <f>ROUND(BE2+BH2+BK2,2)</f>
        <v>0</v>
      </c>
      <c r="BO2" s="1067">
        <f>ROUND(BN2-BM2,2)</f>
        <v>0</v>
      </c>
      <c r="BP2" s="1067">
        <f>ROUND(отчетПП!F24,2)</f>
        <v>0</v>
      </c>
      <c r="BQ2" s="1067">
        <f>ROUND(отчетПП!G24,2)</f>
        <v>0</v>
      </c>
      <c r="BR2" s="1067">
        <f>ROUND(BQ2-BP2,2)</f>
        <v>0</v>
      </c>
      <c r="BS2" s="1067">
        <f>ROUND(отчетПП!F30,2)</f>
        <v>0</v>
      </c>
      <c r="BT2" s="1067">
        <f>IF(Титульный!B17="2016-2018",ROUND(НВВ16ф!L95/1000,2),ROUND(отчетПП!G30,2))</f>
        <v>0</v>
      </c>
      <c r="BU2" s="1067">
        <f>ROUND(BT2-BS2,2)</f>
        <v>0</v>
      </c>
      <c r="BV2" s="1067">
        <f>IF(P2="на техническую воду","-",IF(P2="на транспортировку воды","-",ROUND(отчетПП!F37,2)))</f>
        <v>0</v>
      </c>
      <c r="BW2" s="1067">
        <f>IF(Q2="на техническую воду","-",IF(P2="на транспортировку воды","-",ROUND(отчетПП!G37,2)))</f>
        <v>0</v>
      </c>
      <c r="BX2" s="1067">
        <f>IF(BV2="-","-",ROUND(BW2-BV2,2))</f>
        <v>0</v>
      </c>
      <c r="BY2" s="1067">
        <f>IF(S2="на техническую воду","-",ROUND(отчетПП!F38,2))</f>
        <v>0</v>
      </c>
      <c r="BZ2" s="1067">
        <f>IF(T2="на техническую воду","-",ROUND(отчетПП!G38,2))</f>
        <v>0</v>
      </c>
      <c r="CA2" s="1067">
        <f>ROUND(BZ2-BY2,2)</f>
        <v>0</v>
      </c>
      <c r="CB2" s="1067">
        <f>ROUND(отчетПП!F40,2)</f>
        <v>0</v>
      </c>
      <c r="CC2" s="1067">
        <f>ROUND(отчетПП!G40,2)</f>
        <v>0</v>
      </c>
      <c r="CD2" s="1067">
        <f>ROUND(CC2-CB2,2)</f>
        <v>0</v>
      </c>
      <c r="CE2" s="1067">
        <f>IF(Титульный!B17="2016-2018",ROUND('ПП 2016-2018'!F42,2),ROUND(отчетПП!F42,2))</f>
        <v>0</v>
      </c>
      <c r="CF2" s="1067">
        <f>IF(Титульный!B17="2016-2018",ROUND('ПП 2016-2018'!F42,2),ROUND(отчетПП!G42,2))</f>
        <v>0</v>
      </c>
      <c r="CG2" s="1067">
        <f>ROUND(CF2-CE2,2)</f>
        <v>0</v>
      </c>
      <c r="CH2" s="1067">
        <f>IF(Титульный!B17="2016-2018",ROUND('ПП 2016-2018'!F43,2),ROUND(отчетПП!F43,2))</f>
        <v>0</v>
      </c>
      <c r="CI2" s="1067">
        <f>IF(Титульный!B17="2016-2018",ROUND('ПП 2016-2018'!F43,2),ROUND(отчетПП!G43,2))</f>
        <v>0</v>
      </c>
      <c r="CJ2" s="1067">
        <f>ROUND(CI2-CH2,2)</f>
        <v>0</v>
      </c>
      <c r="CK2" s="1067">
        <f>IF(Титульный!B17="2016-2018",ROUND('ПП 2016-2018'!F44,2),ROUND(отчетПП!F44,2))</f>
        <v>0</v>
      </c>
      <c r="CL2" s="1067">
        <f>IF(Титульный!B17="2016-2018",ROUND('ПП 2016-2018'!F44,2),ROUND(отчетПП!G44,2))</f>
        <v>0</v>
      </c>
      <c r="CM2" s="1067">
        <f>ROUND(CL2-CK2,2)</f>
        <v>0</v>
      </c>
      <c r="CN2" s="1067">
        <f>ROUND('НВВ базовый расчет'!E74,2)</f>
        <v>0</v>
      </c>
      <c r="CO2" s="1067">
        <f>ROUND('НВВ базовый расчет'!F74,2)</f>
        <v>0</v>
      </c>
      <c r="CP2" s="1067">
        <f>IF($C$2="Общая",ROUND(CN2*1.18,2),CN2)</f>
        <v>0</v>
      </c>
      <c r="CQ2" s="1067">
        <f>IF($C$2="Общая",ROUND(CO2*1.18,2),CO2)</f>
        <v>0</v>
      </c>
      <c r="CR2" s="1068">
        <f>IF(Титульный!B17="2016-2018",ROUND(НВВ2017!F47,2),ROUND('НВВск и тариф'!E51,2))</f>
        <v>0</v>
      </c>
      <c r="CS2" s="1068">
        <f>IF(Титульный!B17="2016-2018",ROUND(НВВ2017!G48,2),ROUND('НВВск и тариф'!E52,2))</f>
        <v>0</v>
      </c>
      <c r="CT2" s="1068">
        <f>IF(Титульный!B23="Общая",ROUND(CR2*1.18,2),CR2)</f>
        <v>0</v>
      </c>
      <c r="CU2" s="1068">
        <f>IF(Титульный!B23="Общая",ROUND(CS2*1.18,2),CS2)</f>
        <v>0</v>
      </c>
      <c r="CV2" s="1067">
        <f>IF(Титульный!B17="2016-2018",ROUND('НВВск и тариф'!E51,2),ROUND('НВВ базовый расчет'!M74,2))</f>
        <v>0</v>
      </c>
      <c r="CW2" s="1067">
        <f>IF(Титульный!B17="2016-2018",ROUND('НВВск и тариф'!E52,2),ROUND('НВВ базовый расчет'!N74,2))</f>
        <v>0</v>
      </c>
      <c r="CX2" s="1067">
        <f>IF($C$2="Общая",ROUND(CV2*1.18,2),CV2)</f>
        <v>0</v>
      </c>
      <c r="CY2" s="1067">
        <f>IF($C$2="Общая",ROUND(CW2*1.18,2),CW2)</f>
        <v>0</v>
      </c>
    </row>
    <row r="3" spans="1:103">
      <c r="AA3" s="1061"/>
      <c r="AF3" s="1061"/>
      <c r="AK3" s="1061"/>
    </row>
    <row r="5" spans="1:103">
      <c r="A5" s="1723"/>
    </row>
    <row r="6" spans="1:103">
      <c r="A6" s="1723"/>
    </row>
    <row r="8" spans="1:103">
      <c r="A8" s="1062"/>
      <c r="B8" s="1078"/>
      <c r="C8" s="1078"/>
    </row>
    <row r="9" spans="1:103">
      <c r="A9" s="1063"/>
      <c r="B9" s="1063"/>
      <c r="C9" s="1063"/>
    </row>
    <row r="10" spans="1:103">
      <c r="A10" s="1063"/>
      <c r="B10" s="1063"/>
      <c r="C10" s="1063"/>
    </row>
    <row r="11" spans="1:103">
      <c r="A11" s="1063"/>
      <c r="B11" s="1063"/>
      <c r="C11" s="1063"/>
    </row>
  </sheetData>
  <sheetProtection password="F66E" sheet="1" objects="1" scenarios="1" formatCells="0" formatColumns="0" formatRows="0"/>
  <mergeCells count="1">
    <mergeCell ref="A5:A6"/>
  </mergeCells>
  <dataValidations count="2">
    <dataValidation type="list" allowBlank="1" showInputMessage="1" showErrorMessage="1" sqref="WYR983042 LW2 VS2 AFO2 APK2 AZG2 BJC2 BSY2 CCU2 CMQ2 CWM2 DGI2 DQE2 EAA2 EJW2 ETS2 FDO2 FNK2 FXG2 GHC2 GQY2 HAU2 HKQ2 HUM2 IEI2 IOE2 IYA2 JHW2 JRS2 KBO2 KLK2 KVG2 LFC2 LOY2 LYU2 MIQ2 MSM2 NCI2 NME2 NWA2 OFW2 OPS2 OZO2 PJK2 PTG2 QDC2 QMY2 QWU2 RGQ2 RQM2 SAI2 SKE2 SUA2 TDW2 TNS2 TXO2 UHK2 URG2 VBC2 VKY2 VUU2 WEQ2 WOM2 WYI2 P65538:CQ65538 LW65538 VS65538 AFO65538 APK65538 AZG65538 BJC65538 BSY65538 CCU65538 CMQ65538 CWM65538 DGI65538 DQE65538 EAA65538 EJW65538 ETS65538 FDO65538 FNK65538 FXG65538 GHC65538 GQY65538 HAU65538 HKQ65538 HUM65538 IEI65538 IOE65538 IYA65538 JHW65538 JRS65538 KBO65538 KLK65538 KVG65538 LFC65538 LOY65538 LYU65538 MIQ65538 MSM65538 NCI65538 NME65538 NWA65538 OFW65538 OPS65538 OZO65538 PJK65538 PTG65538 QDC65538 QMY65538 QWU65538 RGQ65538 RQM65538 SAI65538 SKE65538 SUA65538 TDW65538 TNS65538 TXO65538 UHK65538 URG65538 VBC65538 VKY65538 VUU65538 WEQ65538 WOM65538 WYI65538 P131074:CQ131074 LW131074 VS131074 AFO131074 APK131074 AZG131074 BJC131074 BSY131074 CCU131074 CMQ131074 CWM131074 DGI131074 DQE131074 EAA131074 EJW131074 ETS131074 FDO131074 FNK131074 FXG131074 GHC131074 GQY131074 HAU131074 HKQ131074 HUM131074 IEI131074 IOE131074 IYA131074 JHW131074 JRS131074 KBO131074 KLK131074 KVG131074 LFC131074 LOY131074 LYU131074 MIQ131074 MSM131074 NCI131074 NME131074 NWA131074 OFW131074 OPS131074 OZO131074 PJK131074 PTG131074 QDC131074 QMY131074 QWU131074 RGQ131074 RQM131074 SAI131074 SKE131074 SUA131074 TDW131074 TNS131074 TXO131074 UHK131074 URG131074 VBC131074 VKY131074 VUU131074 WEQ131074 WOM131074 WYI131074 P196610:CQ196610 LW196610 VS196610 AFO196610 APK196610 AZG196610 BJC196610 BSY196610 CCU196610 CMQ196610 CWM196610 DGI196610 DQE196610 EAA196610 EJW196610 ETS196610 FDO196610 FNK196610 FXG196610 GHC196610 GQY196610 HAU196610 HKQ196610 HUM196610 IEI196610 IOE196610 IYA196610 JHW196610 JRS196610 KBO196610 KLK196610 KVG196610 LFC196610 LOY196610 LYU196610 MIQ196610 MSM196610 NCI196610 NME196610 NWA196610 OFW196610 OPS196610 OZO196610 PJK196610 PTG196610 QDC196610 QMY196610 QWU196610 RGQ196610 RQM196610 SAI196610 SKE196610 SUA196610 TDW196610 TNS196610 TXO196610 UHK196610 URG196610 VBC196610 VKY196610 VUU196610 WEQ196610 WOM196610 WYI196610 P262146:CQ262146 LW262146 VS262146 AFO262146 APK262146 AZG262146 BJC262146 BSY262146 CCU262146 CMQ262146 CWM262146 DGI262146 DQE262146 EAA262146 EJW262146 ETS262146 FDO262146 FNK262146 FXG262146 GHC262146 GQY262146 HAU262146 HKQ262146 HUM262146 IEI262146 IOE262146 IYA262146 JHW262146 JRS262146 KBO262146 KLK262146 KVG262146 LFC262146 LOY262146 LYU262146 MIQ262146 MSM262146 NCI262146 NME262146 NWA262146 OFW262146 OPS262146 OZO262146 PJK262146 PTG262146 QDC262146 QMY262146 QWU262146 RGQ262146 RQM262146 SAI262146 SKE262146 SUA262146 TDW262146 TNS262146 TXO262146 UHK262146 URG262146 VBC262146 VKY262146 VUU262146 WEQ262146 WOM262146 WYI262146 P327682:CQ327682 LW327682 VS327682 AFO327682 APK327682 AZG327682 BJC327682 BSY327682 CCU327682 CMQ327682 CWM327682 DGI327682 DQE327682 EAA327682 EJW327682 ETS327682 FDO327682 FNK327682 FXG327682 GHC327682 GQY327682 HAU327682 HKQ327682 HUM327682 IEI327682 IOE327682 IYA327682 JHW327682 JRS327682 KBO327682 KLK327682 KVG327682 LFC327682 LOY327682 LYU327682 MIQ327682 MSM327682 NCI327682 NME327682 NWA327682 OFW327682 OPS327682 OZO327682 PJK327682 PTG327682 QDC327682 QMY327682 QWU327682 RGQ327682 RQM327682 SAI327682 SKE327682 SUA327682 TDW327682 TNS327682 TXO327682 UHK327682 URG327682 VBC327682 VKY327682 VUU327682 WEQ327682 WOM327682 WYI327682 P393218:CQ393218 LW393218 VS393218 AFO393218 APK393218 AZG393218 BJC393218 BSY393218 CCU393218 CMQ393218 CWM393218 DGI393218 DQE393218 EAA393218 EJW393218 ETS393218 FDO393218 FNK393218 FXG393218 GHC393218 GQY393218 HAU393218 HKQ393218 HUM393218 IEI393218 IOE393218 IYA393218 JHW393218 JRS393218 KBO393218 KLK393218 KVG393218 LFC393218 LOY393218 LYU393218 MIQ393218 MSM393218 NCI393218 NME393218 NWA393218 OFW393218 OPS393218 OZO393218 PJK393218 PTG393218 QDC393218 QMY393218 QWU393218 RGQ393218 RQM393218 SAI393218 SKE393218 SUA393218 TDW393218 TNS393218 TXO393218 UHK393218 URG393218 VBC393218 VKY393218 VUU393218 WEQ393218 WOM393218 WYI393218 P458754:CQ458754 LW458754 VS458754 AFO458754 APK458754 AZG458754 BJC458754 BSY458754 CCU458754 CMQ458754 CWM458754 DGI458754 DQE458754 EAA458754 EJW458754 ETS458754 FDO458754 FNK458754 FXG458754 GHC458754 GQY458754 HAU458754 HKQ458754 HUM458754 IEI458754 IOE458754 IYA458754 JHW458754 JRS458754 KBO458754 KLK458754 KVG458754 LFC458754 LOY458754 LYU458754 MIQ458754 MSM458754 NCI458754 NME458754 NWA458754 OFW458754 OPS458754 OZO458754 PJK458754 PTG458754 QDC458754 QMY458754 QWU458754 RGQ458754 RQM458754 SAI458754 SKE458754 SUA458754 TDW458754 TNS458754 TXO458754 UHK458754 URG458754 VBC458754 VKY458754 VUU458754 WEQ458754 WOM458754 WYI458754 P524290:CQ524290 LW524290 VS524290 AFO524290 APK524290 AZG524290 BJC524290 BSY524290 CCU524290 CMQ524290 CWM524290 DGI524290 DQE524290 EAA524290 EJW524290 ETS524290 FDO524290 FNK524290 FXG524290 GHC524290 GQY524290 HAU524290 HKQ524290 HUM524290 IEI524290 IOE524290 IYA524290 JHW524290 JRS524290 KBO524290 KLK524290 KVG524290 LFC524290 LOY524290 LYU524290 MIQ524290 MSM524290 NCI524290 NME524290 NWA524290 OFW524290 OPS524290 OZO524290 PJK524290 PTG524290 QDC524290 QMY524290 QWU524290 RGQ524290 RQM524290 SAI524290 SKE524290 SUA524290 TDW524290 TNS524290 TXO524290 UHK524290 URG524290 VBC524290 VKY524290 VUU524290 WEQ524290 WOM524290 WYI524290 P589826:CQ589826 LW589826 VS589826 AFO589826 APK589826 AZG589826 BJC589826 BSY589826 CCU589826 CMQ589826 CWM589826 DGI589826 DQE589826 EAA589826 EJW589826 ETS589826 FDO589826 FNK589826 FXG589826 GHC589826 GQY589826 HAU589826 HKQ589826 HUM589826 IEI589826 IOE589826 IYA589826 JHW589826 JRS589826 KBO589826 KLK589826 KVG589826 LFC589826 LOY589826 LYU589826 MIQ589826 MSM589826 NCI589826 NME589826 NWA589826 OFW589826 OPS589826 OZO589826 PJK589826 PTG589826 QDC589826 QMY589826 QWU589826 RGQ589826 RQM589826 SAI589826 SKE589826 SUA589826 TDW589826 TNS589826 TXO589826 UHK589826 URG589826 VBC589826 VKY589826 VUU589826 WEQ589826 WOM589826 WYI589826 P655362:CQ655362 LW655362 VS655362 AFO655362 APK655362 AZG655362 BJC655362 BSY655362 CCU655362 CMQ655362 CWM655362 DGI655362 DQE655362 EAA655362 EJW655362 ETS655362 FDO655362 FNK655362 FXG655362 GHC655362 GQY655362 HAU655362 HKQ655362 HUM655362 IEI655362 IOE655362 IYA655362 JHW655362 JRS655362 KBO655362 KLK655362 KVG655362 LFC655362 LOY655362 LYU655362 MIQ655362 MSM655362 NCI655362 NME655362 NWA655362 OFW655362 OPS655362 OZO655362 PJK655362 PTG655362 QDC655362 QMY655362 QWU655362 RGQ655362 RQM655362 SAI655362 SKE655362 SUA655362 TDW655362 TNS655362 TXO655362 UHK655362 URG655362 VBC655362 VKY655362 VUU655362 WEQ655362 WOM655362 WYI655362 P720898:CQ720898 LW720898 VS720898 AFO720898 APK720898 AZG720898 BJC720898 BSY720898 CCU720898 CMQ720898 CWM720898 DGI720898 DQE720898 EAA720898 EJW720898 ETS720898 FDO720898 FNK720898 FXG720898 GHC720898 GQY720898 HAU720898 HKQ720898 HUM720898 IEI720898 IOE720898 IYA720898 JHW720898 JRS720898 KBO720898 KLK720898 KVG720898 LFC720898 LOY720898 LYU720898 MIQ720898 MSM720898 NCI720898 NME720898 NWA720898 OFW720898 OPS720898 OZO720898 PJK720898 PTG720898 QDC720898 QMY720898 QWU720898 RGQ720898 RQM720898 SAI720898 SKE720898 SUA720898 TDW720898 TNS720898 TXO720898 UHK720898 URG720898 VBC720898 VKY720898 VUU720898 WEQ720898 WOM720898 WYI720898 P786434:CQ786434 LW786434 VS786434 AFO786434 APK786434 AZG786434 BJC786434 BSY786434 CCU786434 CMQ786434 CWM786434 DGI786434 DQE786434 EAA786434 EJW786434 ETS786434 FDO786434 FNK786434 FXG786434 GHC786434 GQY786434 HAU786434 HKQ786434 HUM786434 IEI786434 IOE786434 IYA786434 JHW786434 JRS786434 KBO786434 KLK786434 KVG786434 LFC786434 LOY786434 LYU786434 MIQ786434 MSM786434 NCI786434 NME786434 NWA786434 OFW786434 OPS786434 OZO786434 PJK786434 PTG786434 QDC786434 QMY786434 QWU786434 RGQ786434 RQM786434 SAI786434 SKE786434 SUA786434 TDW786434 TNS786434 TXO786434 UHK786434 URG786434 VBC786434 VKY786434 VUU786434 WEQ786434 WOM786434 WYI786434 P851970:CQ851970 LW851970 VS851970 AFO851970 APK851970 AZG851970 BJC851970 BSY851970 CCU851970 CMQ851970 CWM851970 DGI851970 DQE851970 EAA851970 EJW851970 ETS851970 FDO851970 FNK851970 FXG851970 GHC851970 GQY851970 HAU851970 HKQ851970 HUM851970 IEI851970 IOE851970 IYA851970 JHW851970 JRS851970 KBO851970 KLK851970 KVG851970 LFC851970 LOY851970 LYU851970 MIQ851970 MSM851970 NCI851970 NME851970 NWA851970 OFW851970 OPS851970 OZO851970 PJK851970 PTG851970 QDC851970 QMY851970 QWU851970 RGQ851970 RQM851970 SAI851970 SKE851970 SUA851970 TDW851970 TNS851970 TXO851970 UHK851970 URG851970 VBC851970 VKY851970 VUU851970 WEQ851970 WOM851970 WYI851970 P917506:CQ917506 LW917506 VS917506 AFO917506 APK917506 AZG917506 BJC917506 BSY917506 CCU917506 CMQ917506 CWM917506 DGI917506 DQE917506 EAA917506 EJW917506 ETS917506 FDO917506 FNK917506 FXG917506 GHC917506 GQY917506 HAU917506 HKQ917506 HUM917506 IEI917506 IOE917506 IYA917506 JHW917506 JRS917506 KBO917506 KLK917506 KVG917506 LFC917506 LOY917506 LYU917506 MIQ917506 MSM917506 NCI917506 NME917506 NWA917506 OFW917506 OPS917506 OZO917506 PJK917506 PTG917506 QDC917506 QMY917506 QWU917506 RGQ917506 RQM917506 SAI917506 SKE917506 SUA917506 TDW917506 TNS917506 TXO917506 UHK917506 URG917506 VBC917506 VKY917506 VUU917506 WEQ917506 WOM917506 WYI917506 P983042:CQ983042 LW983042 VS983042 AFO983042 APK983042 AZG983042 BJC983042 BSY983042 CCU983042 CMQ983042 CWM983042 DGI983042 DQE983042 EAA983042 EJW983042 ETS983042 FDO983042 FNK983042 FXG983042 GHC983042 GQY983042 HAU983042 HKQ983042 HUM983042 IEI983042 IOE983042 IYA983042 JHW983042 JRS983042 KBO983042 KLK983042 KVG983042 LFC983042 LOY983042 LYU983042 MIQ983042 MSM983042 NCI983042 NME983042 NWA983042 OFW983042 OPS983042 OZO983042 PJK983042 PTG983042 QDC983042 QMY983042 QWU983042 RGQ983042 RQM983042 SAI983042 SKE983042 SUA983042 TDW983042 TNS983042 TXO983042 UHK983042 URG983042 VBC983042 VKY983042 VUU983042 WEQ983042 WOM983042 WYI983042 MF2 WB2 AFX2 APT2 AZP2 BJL2 BTH2 CDD2 CMZ2 CWV2 DGR2 DQN2 EAJ2 EKF2 EUB2 FDX2 FNT2 FXP2 GHL2 GRH2 HBD2 HKZ2 HUV2 IER2 ION2 IYJ2 JIF2 JSB2 KBX2 KLT2 KVP2 LFL2 LPH2 LZD2 MIZ2 MSV2 NCR2 NMN2 NWJ2 OGF2 OQB2 OZX2 PJT2 PTP2 QDL2 QNH2 QXD2 RGZ2 RQV2 SAR2 SKN2 SUJ2 TEF2 TOB2 TXX2 UHT2 URP2 VBL2 VLH2 VVD2 WEZ2 WOV2 WYR2 MF65538 WB65538 AFX65538 APT65538 AZP65538 BJL65538 BTH65538 CDD65538 CMZ65538 CWV65538 DGR65538 DQN65538 EAJ65538 EKF65538 EUB65538 FDX65538 FNT65538 FXP65538 GHL65538 GRH65538 HBD65538 HKZ65538 HUV65538 IER65538 ION65538 IYJ65538 JIF65538 JSB65538 KBX65538 KLT65538 KVP65538 LFL65538 LPH65538 LZD65538 MIZ65538 MSV65538 NCR65538 NMN65538 NWJ65538 OGF65538 OQB65538 OZX65538 PJT65538 PTP65538 QDL65538 QNH65538 QXD65538 RGZ65538 RQV65538 SAR65538 SKN65538 SUJ65538 TEF65538 TOB65538 TXX65538 UHT65538 URP65538 VBL65538 VLH65538 VVD65538 WEZ65538 WOV65538 WYR65538 MF131074 WB131074 AFX131074 APT131074 AZP131074 BJL131074 BTH131074 CDD131074 CMZ131074 CWV131074 DGR131074 DQN131074 EAJ131074 EKF131074 EUB131074 FDX131074 FNT131074 FXP131074 GHL131074 GRH131074 HBD131074 HKZ131074 HUV131074 IER131074 ION131074 IYJ131074 JIF131074 JSB131074 KBX131074 KLT131074 KVP131074 LFL131074 LPH131074 LZD131074 MIZ131074 MSV131074 NCR131074 NMN131074 NWJ131074 OGF131074 OQB131074 OZX131074 PJT131074 PTP131074 QDL131074 QNH131074 QXD131074 RGZ131074 RQV131074 SAR131074 SKN131074 SUJ131074 TEF131074 TOB131074 TXX131074 UHT131074 URP131074 VBL131074 VLH131074 VVD131074 WEZ131074 WOV131074 WYR131074 MF196610 WB196610 AFX196610 APT196610 AZP196610 BJL196610 BTH196610 CDD196610 CMZ196610 CWV196610 DGR196610 DQN196610 EAJ196610 EKF196610 EUB196610 FDX196610 FNT196610 FXP196610 GHL196610 GRH196610 HBD196610 HKZ196610 HUV196610 IER196610 ION196610 IYJ196610 JIF196610 JSB196610 KBX196610 KLT196610 KVP196610 LFL196610 LPH196610 LZD196610 MIZ196610 MSV196610 NCR196610 NMN196610 NWJ196610 OGF196610 OQB196610 OZX196610 PJT196610 PTP196610 QDL196610 QNH196610 QXD196610 RGZ196610 RQV196610 SAR196610 SKN196610 SUJ196610 TEF196610 TOB196610 TXX196610 UHT196610 URP196610 VBL196610 VLH196610 VVD196610 WEZ196610 WOV196610 WYR196610 MF262146 WB262146 AFX262146 APT262146 AZP262146 BJL262146 BTH262146 CDD262146 CMZ262146 CWV262146 DGR262146 DQN262146 EAJ262146 EKF262146 EUB262146 FDX262146 FNT262146 FXP262146 GHL262146 GRH262146 HBD262146 HKZ262146 HUV262146 IER262146 ION262146 IYJ262146 JIF262146 JSB262146 KBX262146 KLT262146 KVP262146 LFL262146 LPH262146 LZD262146 MIZ262146 MSV262146 NCR262146 NMN262146 NWJ262146 OGF262146 OQB262146 OZX262146 PJT262146 PTP262146 QDL262146 QNH262146 QXD262146 RGZ262146 RQV262146 SAR262146 SKN262146 SUJ262146 TEF262146 TOB262146 TXX262146 UHT262146 URP262146 VBL262146 VLH262146 VVD262146 WEZ262146 WOV262146 WYR262146 MF327682 WB327682 AFX327682 APT327682 AZP327682 BJL327682 BTH327682 CDD327682 CMZ327682 CWV327682 DGR327682 DQN327682 EAJ327682 EKF327682 EUB327682 FDX327682 FNT327682 FXP327682 GHL327682 GRH327682 HBD327682 HKZ327682 HUV327682 IER327682 ION327682 IYJ327682 JIF327682 JSB327682 KBX327682 KLT327682 KVP327682 LFL327682 LPH327682 LZD327682 MIZ327682 MSV327682 NCR327682 NMN327682 NWJ327682 OGF327682 OQB327682 OZX327682 PJT327682 PTP327682 QDL327682 QNH327682 QXD327682 RGZ327682 RQV327682 SAR327682 SKN327682 SUJ327682 TEF327682 TOB327682 TXX327682 UHT327682 URP327682 VBL327682 VLH327682 VVD327682 WEZ327682 WOV327682 WYR327682 MF393218 WB393218 AFX393218 APT393218 AZP393218 BJL393218 BTH393218 CDD393218 CMZ393218 CWV393218 DGR393218 DQN393218 EAJ393218 EKF393218 EUB393218 FDX393218 FNT393218 FXP393218 GHL393218 GRH393218 HBD393218 HKZ393218 HUV393218 IER393218 ION393218 IYJ393218 JIF393218 JSB393218 KBX393218 KLT393218 KVP393218 LFL393218 LPH393218 LZD393218 MIZ393218 MSV393218 NCR393218 NMN393218 NWJ393218 OGF393218 OQB393218 OZX393218 PJT393218 PTP393218 QDL393218 QNH393218 QXD393218 RGZ393218 RQV393218 SAR393218 SKN393218 SUJ393218 TEF393218 TOB393218 TXX393218 UHT393218 URP393218 VBL393218 VLH393218 VVD393218 WEZ393218 WOV393218 WYR393218 MF458754 WB458754 AFX458754 APT458754 AZP458754 BJL458754 BTH458754 CDD458754 CMZ458754 CWV458754 DGR458754 DQN458754 EAJ458754 EKF458754 EUB458754 FDX458754 FNT458754 FXP458754 GHL458754 GRH458754 HBD458754 HKZ458754 HUV458754 IER458754 ION458754 IYJ458754 JIF458754 JSB458754 KBX458754 KLT458754 KVP458754 LFL458754 LPH458754 LZD458754 MIZ458754 MSV458754 NCR458754 NMN458754 NWJ458754 OGF458754 OQB458754 OZX458754 PJT458754 PTP458754 QDL458754 QNH458754 QXD458754 RGZ458754 RQV458754 SAR458754 SKN458754 SUJ458754 TEF458754 TOB458754 TXX458754 UHT458754 URP458754 VBL458754 VLH458754 VVD458754 WEZ458754 WOV458754 WYR458754 MF524290 WB524290 AFX524290 APT524290 AZP524290 BJL524290 BTH524290 CDD524290 CMZ524290 CWV524290 DGR524290 DQN524290 EAJ524290 EKF524290 EUB524290 FDX524290 FNT524290 FXP524290 GHL524290 GRH524290 HBD524290 HKZ524290 HUV524290 IER524290 ION524290 IYJ524290 JIF524290 JSB524290 KBX524290 KLT524290 KVP524290 LFL524290 LPH524290 LZD524290 MIZ524290 MSV524290 NCR524290 NMN524290 NWJ524290 OGF524290 OQB524290 OZX524290 PJT524290 PTP524290 QDL524290 QNH524290 QXD524290 RGZ524290 RQV524290 SAR524290 SKN524290 SUJ524290 TEF524290 TOB524290 TXX524290 UHT524290 URP524290 VBL524290 VLH524290 VVD524290 WEZ524290 WOV524290 WYR524290 MF589826 WB589826 AFX589826 APT589826 AZP589826 BJL589826 BTH589826 CDD589826 CMZ589826 CWV589826 DGR589826 DQN589826 EAJ589826 EKF589826 EUB589826 FDX589826 FNT589826 FXP589826 GHL589826 GRH589826 HBD589826 HKZ589826 HUV589826 IER589826 ION589826 IYJ589826 JIF589826 JSB589826 KBX589826 KLT589826 KVP589826 LFL589826 LPH589826 LZD589826 MIZ589826 MSV589826 NCR589826 NMN589826 NWJ589826 OGF589826 OQB589826 OZX589826 PJT589826 PTP589826 QDL589826 QNH589826 QXD589826 RGZ589826 RQV589826 SAR589826 SKN589826 SUJ589826 TEF589826 TOB589826 TXX589826 UHT589826 URP589826 VBL589826 VLH589826 VVD589826 WEZ589826 WOV589826 WYR589826 MF655362 WB655362 AFX655362 APT655362 AZP655362 BJL655362 BTH655362 CDD655362 CMZ655362 CWV655362 DGR655362 DQN655362 EAJ655362 EKF655362 EUB655362 FDX655362 FNT655362 FXP655362 GHL655362 GRH655362 HBD655362 HKZ655362 HUV655362 IER655362 ION655362 IYJ655362 JIF655362 JSB655362 KBX655362 KLT655362 KVP655362 LFL655362 LPH655362 LZD655362 MIZ655362 MSV655362 NCR655362 NMN655362 NWJ655362 OGF655362 OQB655362 OZX655362 PJT655362 PTP655362 QDL655362 QNH655362 QXD655362 RGZ655362 RQV655362 SAR655362 SKN655362 SUJ655362 TEF655362 TOB655362 TXX655362 UHT655362 URP655362 VBL655362 VLH655362 VVD655362 WEZ655362 WOV655362 WYR655362 MF720898 WB720898 AFX720898 APT720898 AZP720898 BJL720898 BTH720898 CDD720898 CMZ720898 CWV720898 DGR720898 DQN720898 EAJ720898 EKF720898 EUB720898 FDX720898 FNT720898 FXP720898 GHL720898 GRH720898 HBD720898 HKZ720898 HUV720898 IER720898 ION720898 IYJ720898 JIF720898 JSB720898 KBX720898 KLT720898 KVP720898 LFL720898 LPH720898 LZD720898 MIZ720898 MSV720898 NCR720898 NMN720898 NWJ720898 OGF720898 OQB720898 OZX720898 PJT720898 PTP720898 QDL720898 QNH720898 QXD720898 RGZ720898 RQV720898 SAR720898 SKN720898 SUJ720898 TEF720898 TOB720898 TXX720898 UHT720898 URP720898 VBL720898 VLH720898 VVD720898 WEZ720898 WOV720898 WYR720898 MF786434 WB786434 AFX786434 APT786434 AZP786434 BJL786434 BTH786434 CDD786434 CMZ786434 CWV786434 DGR786434 DQN786434 EAJ786434 EKF786434 EUB786434 FDX786434 FNT786434 FXP786434 GHL786434 GRH786434 HBD786434 HKZ786434 HUV786434 IER786434 ION786434 IYJ786434 JIF786434 JSB786434 KBX786434 KLT786434 KVP786434 LFL786434 LPH786434 LZD786434 MIZ786434 MSV786434 NCR786434 NMN786434 NWJ786434 OGF786434 OQB786434 OZX786434 PJT786434 PTP786434 QDL786434 QNH786434 QXD786434 RGZ786434 RQV786434 SAR786434 SKN786434 SUJ786434 TEF786434 TOB786434 TXX786434 UHT786434 URP786434 VBL786434 VLH786434 VVD786434 WEZ786434 WOV786434 WYR786434 MF851970 WB851970 AFX851970 APT851970 AZP851970 BJL851970 BTH851970 CDD851970 CMZ851970 CWV851970 DGR851970 DQN851970 EAJ851970 EKF851970 EUB851970 FDX851970 FNT851970 FXP851970 GHL851970 GRH851970 HBD851970 HKZ851970 HUV851970 IER851970 ION851970 IYJ851970 JIF851970 JSB851970 KBX851970 KLT851970 KVP851970 LFL851970 LPH851970 LZD851970 MIZ851970 MSV851970 NCR851970 NMN851970 NWJ851970 OGF851970 OQB851970 OZX851970 PJT851970 PTP851970 QDL851970 QNH851970 QXD851970 RGZ851970 RQV851970 SAR851970 SKN851970 SUJ851970 TEF851970 TOB851970 TXX851970 UHT851970 URP851970 VBL851970 VLH851970 VVD851970 WEZ851970 WOV851970 WYR851970 MF917506 WB917506 AFX917506 APT917506 AZP917506 BJL917506 BTH917506 CDD917506 CMZ917506 CWV917506 DGR917506 DQN917506 EAJ917506 EKF917506 EUB917506 FDX917506 FNT917506 FXP917506 GHL917506 GRH917506 HBD917506 HKZ917506 HUV917506 IER917506 ION917506 IYJ917506 JIF917506 JSB917506 KBX917506 KLT917506 KVP917506 LFL917506 LPH917506 LZD917506 MIZ917506 MSV917506 NCR917506 NMN917506 NWJ917506 OGF917506 OQB917506 OZX917506 PJT917506 PTP917506 QDL917506 QNH917506 QXD917506 RGZ917506 RQV917506 SAR917506 SKN917506 SUJ917506 TEF917506 TOB917506 TXX917506 UHT917506 URP917506 VBL917506 VLH917506 VVD917506 WEZ917506 WOV917506 WYR917506 MF983042 WB983042 AFX983042 APT983042 AZP983042 BJL983042 BTH983042 CDD983042 CMZ983042 CWV983042 DGR983042 DQN983042 EAJ983042 EKF983042 EUB983042 FDX983042 FNT983042 FXP983042 GHL983042 GRH983042 HBD983042 HKZ983042 HUV983042 IER983042 ION983042 IYJ983042 JIF983042 JSB983042 KBX983042 KLT983042 KVP983042 LFL983042 LPH983042 LZD983042 MIZ983042 MSV983042 NCR983042 NMN983042 NWJ983042 OGF983042 OQB983042 OZX983042 PJT983042 PTP983042 QDL983042 QNH983042 QXD983042 RGZ983042 RQV983042 SAR983042 SKN983042 SUJ983042 TEF983042 TOB983042 TXX983042 UHT983042 URP983042 VBL983042 VLH983042 VVD983042 WEZ983042 WOV983042">
      <formula1>тарифприказ</formula1>
    </dataValidation>
    <dataValidation type="list" allowBlank="1" showInputMessage="1" showErrorMessage="1" sqref="P2">
      <formula1>приказтариф</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B2:M31"/>
  <sheetViews>
    <sheetView zoomScaleNormal="100" workbookViewId="0">
      <pane xSplit="3" ySplit="4" topLeftCell="I5" activePane="bottomRight" state="frozen"/>
      <selection pane="topRight" activeCell="D1" sqref="D1"/>
      <selection pane="bottomLeft" activeCell="A5" sqref="A5"/>
      <selection pane="bottomRight" activeCell="J30" sqref="J30"/>
    </sheetView>
  </sheetViews>
  <sheetFormatPr defaultColWidth="10" defaultRowHeight="15.75"/>
  <cols>
    <col min="1" max="1" width="2" style="1146" customWidth="1"/>
    <col min="2" max="2" width="6.5703125" style="1146" customWidth="1"/>
    <col min="3" max="3" width="50.42578125" style="1146" customWidth="1"/>
    <col min="4" max="4" width="15.140625" style="1146" hidden="1" customWidth="1"/>
    <col min="5" max="5" width="15.7109375" style="1146" hidden="1" customWidth="1"/>
    <col min="6" max="6" width="15.85546875" style="1146" hidden="1" customWidth="1"/>
    <col min="7" max="8" width="15" style="1146" hidden="1" customWidth="1"/>
    <col min="9" max="9" width="14.5703125" style="1146" customWidth="1"/>
    <col min="10" max="10" width="15.28515625" style="1146" customWidth="1"/>
    <col min="11" max="11" width="14.140625" style="1146" customWidth="1"/>
    <col min="12" max="12" width="14.5703125" style="1146" customWidth="1"/>
    <col min="13" max="13" width="13.85546875" style="1146" customWidth="1"/>
    <col min="14" max="16384" width="10" style="1146"/>
  </cols>
  <sheetData>
    <row r="2" spans="2:13" ht="15.75" customHeight="1">
      <c r="B2" s="1367" t="s">
        <v>466</v>
      </c>
      <c r="C2" s="1368" t="s">
        <v>467</v>
      </c>
      <c r="D2" s="1369" t="s">
        <v>1181</v>
      </c>
      <c r="E2" s="1369"/>
      <c r="F2" s="1369"/>
      <c r="G2" s="1369"/>
      <c r="H2" s="1370"/>
      <c r="I2" s="1369" t="s">
        <v>1181</v>
      </c>
      <c r="J2" s="1369"/>
      <c r="K2" s="1369"/>
      <c r="L2" s="1369"/>
      <c r="M2" s="1370"/>
    </row>
    <row r="3" spans="2:13" ht="24.6" customHeight="1">
      <c r="B3" s="1367"/>
      <c r="C3" s="1368"/>
      <c r="D3" s="1371" t="s">
        <v>1182</v>
      </c>
      <c r="E3" s="1372"/>
      <c r="F3" s="1372"/>
      <c r="G3" s="1372"/>
      <c r="H3" s="1373"/>
      <c r="I3" s="1374" t="s">
        <v>1183</v>
      </c>
      <c r="J3" s="1374"/>
      <c r="K3" s="1374"/>
      <c r="L3" s="1374"/>
      <c r="M3" s="1374"/>
    </row>
    <row r="4" spans="2:13" ht="15.75" customHeight="1">
      <c r="B4" s="1367"/>
      <c r="C4" s="1368"/>
      <c r="D4" s="59" t="s">
        <v>1184</v>
      </c>
      <c r="E4" s="59" t="s">
        <v>1185</v>
      </c>
      <c r="F4" s="59" t="s">
        <v>1186</v>
      </c>
      <c r="G4" s="59" t="s">
        <v>1187</v>
      </c>
      <c r="H4" s="59" t="s">
        <v>1188</v>
      </c>
      <c r="I4" s="59" t="s">
        <v>1184</v>
      </c>
      <c r="J4" s="59" t="s">
        <v>1185</v>
      </c>
      <c r="K4" s="59" t="s">
        <v>1186</v>
      </c>
      <c r="L4" s="59" t="s">
        <v>1187</v>
      </c>
      <c r="M4" s="59" t="s">
        <v>1188</v>
      </c>
    </row>
    <row r="5" spans="2:13">
      <c r="B5" s="60" t="s">
        <v>470</v>
      </c>
      <c r="C5" s="61" t="s">
        <v>471</v>
      </c>
      <c r="D5" s="62"/>
      <c r="E5" s="62"/>
      <c r="F5" s="62"/>
      <c r="G5" s="62"/>
      <c r="H5" s="62"/>
      <c r="I5" s="63"/>
      <c r="J5" s="63"/>
      <c r="K5" s="63"/>
      <c r="L5" s="63"/>
      <c r="M5" s="63"/>
    </row>
    <row r="6" spans="2:13">
      <c r="B6" s="60" t="s">
        <v>472</v>
      </c>
      <c r="C6" s="61" t="s">
        <v>473</v>
      </c>
      <c r="D6" s="62"/>
      <c r="E6" s="62"/>
      <c r="F6" s="62"/>
      <c r="G6" s="62"/>
      <c r="H6" s="62"/>
      <c r="I6" s="63"/>
      <c r="J6" s="63"/>
      <c r="K6" s="63"/>
      <c r="L6" s="63"/>
      <c r="M6" s="63"/>
    </row>
    <row r="7" spans="2:13">
      <c r="B7" s="60" t="s">
        <v>474</v>
      </c>
      <c r="C7" s="61" t="s">
        <v>475</v>
      </c>
      <c r="D7" s="62"/>
      <c r="E7" s="62"/>
      <c r="F7" s="62"/>
      <c r="G7" s="62"/>
      <c r="H7" s="62"/>
      <c r="I7" s="63"/>
      <c r="J7" s="63"/>
      <c r="K7" s="63"/>
      <c r="L7" s="63"/>
      <c r="M7" s="63"/>
    </row>
    <row r="8" spans="2:13" ht="38.25">
      <c r="B8" s="60" t="s">
        <v>476</v>
      </c>
      <c r="C8" s="61" t="s">
        <v>477</v>
      </c>
      <c r="D8" s="62"/>
      <c r="E8" s="62"/>
      <c r="F8" s="62"/>
      <c r="G8" s="62"/>
      <c r="H8" s="62"/>
      <c r="I8" s="63"/>
      <c r="J8" s="63"/>
      <c r="K8" s="63"/>
      <c r="L8" s="63"/>
      <c r="M8" s="63"/>
    </row>
    <row r="9" spans="2:13">
      <c r="B9" s="64" t="s">
        <v>478</v>
      </c>
      <c r="C9" s="65" t="s">
        <v>479</v>
      </c>
      <c r="D9" s="62"/>
      <c r="E9" s="62"/>
      <c r="F9" s="62"/>
      <c r="G9" s="62"/>
      <c r="H9" s="62"/>
      <c r="I9" s="63"/>
      <c r="J9" s="63"/>
      <c r="K9" s="63"/>
      <c r="L9" s="63"/>
      <c r="M9" s="63"/>
    </row>
    <row r="10" spans="2:13">
      <c r="B10" s="60" t="s">
        <v>481</v>
      </c>
      <c r="C10" s="61" t="s">
        <v>482</v>
      </c>
      <c r="D10" s="62"/>
      <c r="E10" s="62"/>
      <c r="F10" s="62"/>
      <c r="G10" s="62"/>
      <c r="H10" s="62"/>
      <c r="I10" s="63"/>
      <c r="J10" s="63"/>
      <c r="K10" s="63"/>
      <c r="L10" s="63"/>
      <c r="M10" s="63"/>
    </row>
    <row r="11" spans="2:13">
      <c r="B11" s="60" t="s">
        <v>483</v>
      </c>
      <c r="C11" s="61" t="s">
        <v>484</v>
      </c>
      <c r="D11" s="62"/>
      <c r="E11" s="62"/>
      <c r="F11" s="62"/>
      <c r="G11" s="62"/>
      <c r="H11" s="62"/>
      <c r="I11" s="63"/>
      <c r="J11" s="63"/>
      <c r="K11" s="63"/>
      <c r="L11" s="63"/>
      <c r="M11" s="63"/>
    </row>
    <row r="12" spans="2:13">
      <c r="B12" s="60" t="s">
        <v>485</v>
      </c>
      <c r="C12" s="61" t="s">
        <v>486</v>
      </c>
      <c r="D12" s="62"/>
      <c r="E12" s="62"/>
      <c r="F12" s="62"/>
      <c r="G12" s="62"/>
      <c r="H12" s="62"/>
      <c r="I12" s="63"/>
      <c r="J12" s="63"/>
      <c r="K12" s="63"/>
      <c r="L12" s="63"/>
      <c r="M12" s="63"/>
    </row>
    <row r="13" spans="2:13">
      <c r="B13" s="60" t="s">
        <v>487</v>
      </c>
      <c r="C13" s="61" t="s">
        <v>488</v>
      </c>
      <c r="D13" s="62"/>
      <c r="E13" s="62"/>
      <c r="F13" s="62"/>
      <c r="G13" s="62"/>
      <c r="H13" s="62"/>
      <c r="I13" s="63"/>
      <c r="J13" s="63"/>
      <c r="K13" s="63"/>
      <c r="L13" s="63"/>
      <c r="M13" s="63"/>
    </row>
    <row r="14" spans="2:13">
      <c r="B14" s="60" t="s">
        <v>489</v>
      </c>
      <c r="C14" s="61" t="s">
        <v>490</v>
      </c>
      <c r="D14" s="62"/>
      <c r="E14" s="62"/>
      <c r="F14" s="62"/>
      <c r="G14" s="62"/>
      <c r="H14" s="62"/>
      <c r="I14" s="63"/>
      <c r="J14" s="63"/>
      <c r="K14" s="63"/>
      <c r="L14" s="63"/>
      <c r="M14" s="63"/>
    </row>
    <row r="15" spans="2:13">
      <c r="B15" s="60" t="s">
        <v>491</v>
      </c>
      <c r="C15" s="61" t="s">
        <v>492</v>
      </c>
      <c r="D15" s="62"/>
      <c r="E15" s="62"/>
      <c r="F15" s="62"/>
      <c r="G15" s="62"/>
      <c r="H15" s="62"/>
      <c r="I15" s="63"/>
      <c r="J15" s="63"/>
      <c r="K15" s="63"/>
      <c r="L15" s="63"/>
      <c r="M15" s="63"/>
    </row>
    <row r="16" spans="2:13">
      <c r="B16" s="60" t="s">
        <v>493</v>
      </c>
      <c r="C16" s="61" t="s">
        <v>494</v>
      </c>
      <c r="D16" s="62"/>
      <c r="E16" s="62"/>
      <c r="F16" s="62"/>
      <c r="G16" s="62"/>
      <c r="H16" s="62"/>
      <c r="I16" s="63"/>
      <c r="J16" s="63"/>
      <c r="K16" s="63"/>
      <c r="L16" s="63"/>
      <c r="M16" s="63"/>
    </row>
    <row r="17" spans="2:13">
      <c r="B17" s="60" t="s">
        <v>495</v>
      </c>
      <c r="C17" s="61" t="s">
        <v>496</v>
      </c>
      <c r="D17" s="62"/>
      <c r="E17" s="62"/>
      <c r="F17" s="62"/>
      <c r="G17" s="62"/>
      <c r="H17" s="62"/>
      <c r="I17" s="63"/>
      <c r="J17" s="63"/>
      <c r="K17" s="63"/>
      <c r="L17" s="63"/>
      <c r="M17" s="63"/>
    </row>
    <row r="18" spans="2:13">
      <c r="B18" s="60" t="s">
        <v>497</v>
      </c>
      <c r="C18" s="65" t="s">
        <v>498</v>
      </c>
      <c r="D18" s="62"/>
      <c r="E18" s="62"/>
      <c r="F18" s="62"/>
      <c r="G18" s="62"/>
      <c r="H18" s="62"/>
      <c r="I18" s="63"/>
      <c r="J18" s="63"/>
      <c r="K18" s="63"/>
      <c r="L18" s="63"/>
      <c r="M18" s="63"/>
    </row>
    <row r="19" spans="2:13">
      <c r="B19" s="60" t="s">
        <v>406</v>
      </c>
      <c r="C19" s="61" t="s">
        <v>499</v>
      </c>
      <c r="D19" s="62"/>
      <c r="E19" s="62"/>
      <c r="F19" s="62"/>
      <c r="G19" s="62"/>
      <c r="H19" s="62"/>
      <c r="I19" s="63"/>
      <c r="J19" s="63"/>
      <c r="K19" s="63"/>
      <c r="L19" s="63"/>
      <c r="M19" s="63"/>
    </row>
    <row r="20" spans="2:13">
      <c r="B20" s="60" t="s">
        <v>500</v>
      </c>
      <c r="C20" s="61" t="s">
        <v>501</v>
      </c>
      <c r="D20" s="62"/>
      <c r="E20" s="62"/>
      <c r="F20" s="62"/>
      <c r="G20" s="62"/>
      <c r="H20" s="62"/>
      <c r="I20" s="63"/>
      <c r="J20" s="63"/>
      <c r="K20" s="63"/>
      <c r="L20" s="63"/>
      <c r="M20" s="63"/>
    </row>
    <row r="21" spans="2:13">
      <c r="B21" s="60" t="s">
        <v>502</v>
      </c>
      <c r="C21" s="61" t="s">
        <v>503</v>
      </c>
      <c r="D21" s="62"/>
      <c r="E21" s="62"/>
      <c r="F21" s="62"/>
      <c r="G21" s="62"/>
      <c r="H21" s="62"/>
      <c r="I21" s="63"/>
      <c r="J21" s="63"/>
      <c r="K21" s="63"/>
      <c r="L21" s="63"/>
      <c r="M21" s="63"/>
    </row>
    <row r="22" spans="2:13">
      <c r="B22" s="60" t="s">
        <v>249</v>
      </c>
      <c r="C22" s="61" t="s">
        <v>1189</v>
      </c>
      <c r="D22" s="62"/>
      <c r="E22" s="62"/>
      <c r="F22" s="62"/>
      <c r="G22" s="62"/>
      <c r="H22" s="62"/>
      <c r="I22" s="63"/>
      <c r="J22" s="63"/>
      <c r="K22" s="63"/>
      <c r="L22" s="63"/>
      <c r="M22" s="63"/>
    </row>
    <row r="23" spans="2:13">
      <c r="B23" s="60" t="s">
        <v>504</v>
      </c>
      <c r="C23" s="61" t="s">
        <v>505</v>
      </c>
      <c r="D23" s="62"/>
      <c r="E23" s="62"/>
      <c r="F23" s="62"/>
      <c r="G23" s="62"/>
      <c r="H23" s="62"/>
      <c r="I23" s="63"/>
      <c r="J23" s="63"/>
      <c r="K23" s="63"/>
      <c r="L23" s="63"/>
      <c r="M23" s="63"/>
    </row>
    <row r="24" spans="2:13">
      <c r="B24" s="60" t="s">
        <v>506</v>
      </c>
      <c r="C24" s="61" t="s">
        <v>507</v>
      </c>
      <c r="D24" s="62"/>
      <c r="E24" s="62"/>
      <c r="F24" s="62"/>
      <c r="G24" s="62"/>
      <c r="H24" s="62"/>
      <c r="I24" s="63"/>
      <c r="J24" s="63"/>
      <c r="K24" s="63"/>
      <c r="L24" s="63"/>
      <c r="M24" s="63"/>
    </row>
    <row r="25" spans="2:13">
      <c r="B25" s="60" t="s">
        <v>279</v>
      </c>
      <c r="C25" s="61" t="s">
        <v>508</v>
      </c>
      <c r="D25" s="62"/>
      <c r="E25" s="62"/>
      <c r="F25" s="62"/>
      <c r="G25" s="62"/>
      <c r="H25" s="62"/>
      <c r="I25" s="63"/>
      <c r="J25" s="63"/>
      <c r="K25" s="63"/>
      <c r="L25" s="63"/>
      <c r="M25" s="63"/>
    </row>
    <row r="26" spans="2:13">
      <c r="B26" s="60" t="s">
        <v>282</v>
      </c>
      <c r="C26" s="61" t="s">
        <v>509</v>
      </c>
      <c r="D26" s="62"/>
      <c r="E26" s="62"/>
      <c r="F26" s="62"/>
      <c r="G26" s="62"/>
      <c r="H26" s="62"/>
      <c r="I26" s="63"/>
      <c r="J26" s="63"/>
      <c r="K26" s="63"/>
      <c r="L26" s="63"/>
      <c r="M26" s="63"/>
    </row>
    <row r="27" spans="2:13">
      <c r="B27" s="60" t="s">
        <v>285</v>
      </c>
      <c r="C27" s="65" t="s">
        <v>1190</v>
      </c>
      <c r="D27" s="62"/>
      <c r="E27" s="62"/>
      <c r="F27" s="62"/>
      <c r="G27" s="62"/>
      <c r="H27" s="62"/>
      <c r="I27" s="63"/>
      <c r="J27" s="63"/>
      <c r="K27" s="63"/>
      <c r="L27" s="63"/>
      <c r="M27" s="63"/>
    </row>
    <row r="28" spans="2:13" ht="12.6" customHeight="1">
      <c r="B28" s="60"/>
      <c r="C28" s="61" t="s">
        <v>510</v>
      </c>
      <c r="D28" s="62"/>
      <c r="E28" s="62"/>
      <c r="F28" s="62"/>
      <c r="G28" s="62"/>
      <c r="H28" s="62"/>
      <c r="I28" s="63"/>
      <c r="J28" s="63"/>
      <c r="K28" s="63"/>
      <c r="L28" s="63"/>
      <c r="M28" s="63"/>
    </row>
    <row r="29" spans="2:13">
      <c r="B29" s="60" t="s">
        <v>511</v>
      </c>
      <c r="C29" s="61" t="s">
        <v>512</v>
      </c>
      <c r="D29" s="62"/>
      <c r="E29" s="62"/>
      <c r="F29" s="62"/>
      <c r="G29" s="62"/>
      <c r="H29" s="62"/>
      <c r="I29" s="63"/>
      <c r="J29" s="63"/>
      <c r="K29" s="63"/>
      <c r="L29" s="63"/>
      <c r="M29" s="63"/>
    </row>
    <row r="30" spans="2:13">
      <c r="B30" s="60" t="s">
        <v>513</v>
      </c>
      <c r="C30" s="61" t="s">
        <v>514</v>
      </c>
      <c r="D30" s="62"/>
      <c r="E30" s="62"/>
      <c r="F30" s="62"/>
      <c r="G30" s="62"/>
      <c r="H30" s="62"/>
      <c r="I30" s="63"/>
      <c r="J30" s="63"/>
      <c r="K30" s="63"/>
      <c r="L30" s="63"/>
      <c r="M30" s="63"/>
    </row>
    <row r="31" spans="2:13">
      <c r="B31" s="60" t="s">
        <v>513</v>
      </c>
      <c r="C31" s="61" t="s">
        <v>515</v>
      </c>
      <c r="D31" s="62"/>
      <c r="E31" s="62"/>
      <c r="F31" s="62"/>
      <c r="G31" s="62"/>
      <c r="H31" s="62"/>
      <c r="I31" s="63"/>
      <c r="J31" s="63"/>
      <c r="K31" s="63"/>
      <c r="L31" s="63"/>
      <c r="M31" s="63"/>
    </row>
  </sheetData>
  <sheetProtection password="F66E" sheet="1" objects="1" scenarios="1" formatCells="0" formatColumns="0" formatRows="0"/>
  <mergeCells count="6">
    <mergeCell ref="B2:B4"/>
    <mergeCell ref="C2:C4"/>
    <mergeCell ref="D2:H2"/>
    <mergeCell ref="I2:M2"/>
    <mergeCell ref="D3:H3"/>
    <mergeCell ref="I3:M3"/>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L49"/>
  <sheetViews>
    <sheetView topLeftCell="A16" zoomScaleSheetLayoutView="100" workbookViewId="0">
      <selection activeCell="E42" sqref="E42"/>
    </sheetView>
  </sheetViews>
  <sheetFormatPr defaultColWidth="10.28515625" defaultRowHeight="15.75"/>
  <cols>
    <col min="1" max="1" width="12.140625" style="3" customWidth="1"/>
    <col min="2" max="2" width="13.28515625" style="3" customWidth="1"/>
    <col min="3" max="3" width="23.42578125" style="3" customWidth="1"/>
    <col min="4" max="4" width="16" style="3" customWidth="1"/>
    <col min="5" max="5" width="15.7109375" style="3" customWidth="1"/>
    <col min="6" max="6" width="2.28515625" style="3" customWidth="1"/>
    <col min="7" max="7" width="15.7109375" style="3" customWidth="1"/>
    <col min="8" max="8" width="14.7109375" style="3" customWidth="1"/>
    <col min="9" max="9" width="17.7109375" style="3" customWidth="1"/>
    <col min="10" max="10" width="16.85546875" style="3" customWidth="1"/>
    <col min="11" max="11" width="16.42578125" style="3" customWidth="1"/>
    <col min="12" max="16384" width="10.28515625" style="3"/>
  </cols>
  <sheetData>
    <row r="1" spans="1:11">
      <c r="A1" s="5"/>
      <c r="B1" s="5"/>
      <c r="C1" s="5"/>
      <c r="D1" s="5"/>
      <c r="E1" s="5"/>
      <c r="F1" s="5"/>
      <c r="G1" s="5"/>
      <c r="H1" s="5"/>
      <c r="I1" s="5"/>
      <c r="J1" s="5"/>
    </row>
    <row r="2" spans="1:11" s="10" customFormat="1">
      <c r="A2" s="1378" t="s">
        <v>291</v>
      </c>
      <c r="B2" s="1378"/>
      <c r="C2" s="1378"/>
      <c r="D2" s="1378"/>
      <c r="E2" s="1378"/>
      <c r="F2" s="1378"/>
      <c r="G2" s="1378"/>
      <c r="H2" s="1378"/>
      <c r="I2" s="1378"/>
      <c r="J2" s="1378"/>
    </row>
    <row r="3" spans="1:11">
      <c r="A3" s="5"/>
      <c r="B3" s="5"/>
      <c r="C3" s="5"/>
      <c r="D3" s="5"/>
      <c r="E3" s="5"/>
      <c r="F3" s="5"/>
      <c r="G3" s="5"/>
      <c r="H3" s="5"/>
      <c r="I3" s="5"/>
      <c r="J3" s="5"/>
    </row>
    <row r="4" spans="1:11" ht="22.5" customHeight="1">
      <c r="A4" s="1376" t="s">
        <v>292</v>
      </c>
      <c r="B4" s="1376"/>
      <c r="C4" s="1379" t="str">
        <f>Титульный!B10</f>
        <v xml:space="preserve"> </v>
      </c>
      <c r="D4" s="1379"/>
      <c r="E4" s="1379"/>
      <c r="F4" s="1379"/>
      <c r="G4" s="1379"/>
      <c r="H4" s="1379"/>
      <c r="I4" s="1379"/>
      <c r="J4" s="1379"/>
    </row>
    <row r="5" spans="1:11">
      <c r="A5" s="1376" t="s">
        <v>293</v>
      </c>
      <c r="B5" s="1376"/>
      <c r="C5" s="1377"/>
      <c r="D5" s="1377"/>
      <c r="E5" s="1377"/>
      <c r="F5" s="1377"/>
      <c r="G5" s="1377"/>
      <c r="H5" s="1377"/>
      <c r="I5" s="1377"/>
      <c r="J5" s="1377"/>
    </row>
    <row r="6" spans="1:11">
      <c r="A6" s="1376" t="s">
        <v>294</v>
      </c>
      <c r="B6" s="1376"/>
      <c r="C6" s="1377"/>
      <c r="D6" s="1377"/>
      <c r="E6" s="1377"/>
      <c r="F6" s="1377"/>
      <c r="G6" s="1377"/>
      <c r="H6" s="1377"/>
      <c r="I6" s="1377"/>
      <c r="J6" s="1377"/>
    </row>
    <row r="7" spans="1:11">
      <c r="A7" s="1376" t="s">
        <v>295</v>
      </c>
      <c r="B7" s="1376"/>
      <c r="C7" s="1380"/>
      <c r="D7" s="1380"/>
      <c r="E7" s="1380"/>
      <c r="F7" s="1380"/>
      <c r="G7" s="1380"/>
      <c r="H7" s="1380"/>
      <c r="I7" s="1380"/>
      <c r="J7" s="1380"/>
    </row>
    <row r="8" spans="1:11">
      <c r="A8" s="1376" t="s">
        <v>296</v>
      </c>
      <c r="B8" s="1376"/>
      <c r="C8" s="1377"/>
      <c r="D8" s="1377"/>
      <c r="E8" s="1377"/>
      <c r="F8" s="1377"/>
      <c r="G8" s="1377"/>
      <c r="H8" s="1377"/>
      <c r="I8" s="1377"/>
      <c r="J8" s="1377"/>
    </row>
    <row r="9" spans="1:11">
      <c r="A9" s="1376" t="s">
        <v>297</v>
      </c>
      <c r="B9" s="1376"/>
      <c r="C9" s="1377"/>
      <c r="D9" s="1377"/>
      <c r="E9" s="1377"/>
      <c r="F9" s="1377"/>
      <c r="G9" s="1377"/>
      <c r="H9" s="1377"/>
      <c r="I9" s="1377"/>
      <c r="J9" s="1377"/>
    </row>
    <row r="10" spans="1:11">
      <c r="A10" s="5"/>
      <c r="B10" s="5"/>
      <c r="C10" s="5"/>
      <c r="D10" s="5"/>
      <c r="E10" s="5"/>
      <c r="F10" s="5"/>
      <c r="G10" s="5"/>
      <c r="H10" s="5"/>
      <c r="I10" s="5"/>
      <c r="J10" s="5"/>
      <c r="K10" s="5"/>
    </row>
    <row r="11" spans="1:11" s="10" customFormat="1">
      <c r="A11" s="1149"/>
      <c r="B11" s="1149"/>
      <c r="C11" s="1149"/>
      <c r="D11" s="1149"/>
      <c r="E11" s="1150"/>
      <c r="F11" s="1151"/>
      <c r="G11" s="1151"/>
      <c r="H11" s="1151"/>
      <c r="I11" s="1151"/>
      <c r="J11" s="1151"/>
      <c r="K11" s="11"/>
    </row>
    <row r="12" spans="1:11">
      <c r="A12" s="5"/>
      <c r="B12" s="5"/>
      <c r="C12" s="5"/>
      <c r="D12" s="5"/>
      <c r="E12" s="5"/>
      <c r="F12" s="5"/>
      <c r="G12" s="5"/>
      <c r="H12" s="5"/>
      <c r="I12" s="5"/>
      <c r="J12" s="5"/>
      <c r="K12" s="5"/>
    </row>
    <row r="13" spans="1:11" ht="15.6" customHeight="1">
      <c r="A13" s="1375" t="s">
        <v>361</v>
      </c>
      <c r="B13" s="1375"/>
      <c r="C13" s="1375"/>
      <c r="D13" s="1375"/>
      <c r="E13" s="1375"/>
      <c r="F13" s="623"/>
      <c r="G13" s="1375" t="s">
        <v>361</v>
      </c>
      <c r="H13" s="1375"/>
      <c r="I13" s="1375"/>
      <c r="J13" s="1375"/>
      <c r="K13" s="1375"/>
    </row>
    <row r="14" spans="1:11" ht="15.75" customHeight="1">
      <c r="A14" s="5"/>
      <c r="B14" s="5"/>
      <c r="C14" s="5"/>
      <c r="D14" s="5"/>
      <c r="E14" s="5"/>
      <c r="F14" s="364"/>
      <c r="G14" s="364"/>
      <c r="H14" s="364"/>
      <c r="I14" s="364"/>
      <c r="J14" s="364"/>
      <c r="K14" s="5"/>
    </row>
    <row r="15" spans="1:11" ht="75.599999999999994" customHeight="1">
      <c r="A15" s="1077" t="s">
        <v>302</v>
      </c>
      <c r="B15" s="1077" t="s">
        <v>303</v>
      </c>
      <c r="C15" s="1077" t="s">
        <v>1813</v>
      </c>
      <c r="D15" s="1077" t="s">
        <v>305</v>
      </c>
      <c r="E15" s="1077" t="s">
        <v>306</v>
      </c>
      <c r="F15" s="5"/>
      <c r="G15" s="1077" t="s">
        <v>302</v>
      </c>
      <c r="H15" s="1077" t="s">
        <v>303</v>
      </c>
      <c r="I15" s="1077" t="s">
        <v>304</v>
      </c>
      <c r="J15" s="1077" t="s">
        <v>305</v>
      </c>
      <c r="K15" s="1077" t="s">
        <v>306</v>
      </c>
    </row>
    <row r="16" spans="1:11">
      <c r="A16" s="1394" t="s">
        <v>1814</v>
      </c>
      <c r="B16" s="1394"/>
      <c r="C16" s="1394"/>
      <c r="D16" s="1394"/>
      <c r="E16" s="1394"/>
      <c r="F16" s="5"/>
      <c r="G16" s="1394" t="s">
        <v>1815</v>
      </c>
      <c r="H16" s="1394"/>
      <c r="I16" s="1394"/>
      <c r="J16" s="1394"/>
      <c r="K16" s="1394"/>
    </row>
    <row r="17" spans="1:12" ht="38.25" customHeight="1">
      <c r="A17" s="1383"/>
      <c r="B17" s="1384">
        <v>42339</v>
      </c>
      <c r="C17" s="312" t="s">
        <v>1584</v>
      </c>
      <c r="D17" s="312"/>
      <c r="E17" s="1155" t="str">
        <f>IF(Титульный!B23="Общая","без учета НДС","НДС не предусмотрен")</f>
        <v>НДС не предусмотрен</v>
      </c>
      <c r="G17" s="1408"/>
      <c r="H17" s="1405">
        <v>42705</v>
      </c>
      <c r="I17" s="778" t="s">
        <v>947</v>
      </c>
      <c r="J17" s="1064"/>
      <c r="K17" s="1155" t="str">
        <f>IF(C40="Общая","без учета НДС","НДС не предусмотрен")</f>
        <v>НДС не предусмотрен</v>
      </c>
      <c r="L17" s="13"/>
    </row>
    <row r="18" spans="1:12" ht="35.25" customHeight="1">
      <c r="A18" s="1383"/>
      <c r="B18" s="1384"/>
      <c r="C18" s="363" t="s">
        <v>1585</v>
      </c>
      <c r="D18" s="312"/>
      <c r="E18" s="1155" t="str">
        <f>E17</f>
        <v>НДС не предусмотрен</v>
      </c>
      <c r="G18" s="1409"/>
      <c r="H18" s="1406"/>
      <c r="I18" s="318" t="s">
        <v>1586</v>
      </c>
      <c r="J18" s="1064"/>
      <c r="K18" s="1155" t="str">
        <f>IF(C40="Общая","без учета НДС","НДС не предусмотрен")</f>
        <v>НДС не предусмотрен</v>
      </c>
      <c r="L18" s="13"/>
    </row>
    <row r="19" spans="1:12" ht="35.25" customHeight="1">
      <c r="A19" s="1383"/>
      <c r="B19" s="1384">
        <v>42705</v>
      </c>
      <c r="C19" s="363" t="s">
        <v>947</v>
      </c>
      <c r="D19" s="312"/>
      <c r="E19" s="1155" t="str">
        <f>E18</f>
        <v>НДС не предусмотрен</v>
      </c>
      <c r="G19" s="1409"/>
      <c r="H19" s="1406"/>
      <c r="I19" s="318" t="s">
        <v>1080</v>
      </c>
      <c r="J19" s="1064"/>
      <c r="K19" s="1155" t="str">
        <f>K18</f>
        <v>НДС не предусмотрен</v>
      </c>
      <c r="L19" s="13"/>
    </row>
    <row r="20" spans="1:12" ht="36.75" customHeight="1">
      <c r="A20" s="1383"/>
      <c r="B20" s="1383"/>
      <c r="C20" s="363" t="s">
        <v>1586</v>
      </c>
      <c r="D20" s="312"/>
      <c r="E20" s="1155" t="str">
        <f>E19</f>
        <v>НДС не предусмотрен</v>
      </c>
      <c r="G20" s="1409"/>
      <c r="H20" s="1406"/>
      <c r="I20" s="318" t="s">
        <v>1081</v>
      </c>
      <c r="J20" s="1064"/>
      <c r="K20" s="1155" t="str">
        <f>K19</f>
        <v>НДС не предусмотрен</v>
      </c>
      <c r="L20" s="13"/>
    </row>
    <row r="21" spans="1:12" ht="33.75" customHeight="1">
      <c r="A21" s="1385">
        <f>A17</f>
        <v>0</v>
      </c>
      <c r="B21" s="1387">
        <f>B17</f>
        <v>42339</v>
      </c>
      <c r="C21" s="363" t="s">
        <v>1080</v>
      </c>
      <c r="D21" s="312"/>
      <c r="E21" s="1155" t="str">
        <f>E20</f>
        <v>НДС не предусмотрен</v>
      </c>
      <c r="G21" s="1409"/>
      <c r="H21" s="1406"/>
      <c r="I21" s="318" t="s">
        <v>1127</v>
      </c>
      <c r="J21" s="1064"/>
      <c r="K21" s="1155" t="str">
        <f>K20</f>
        <v>НДС не предусмотрен</v>
      </c>
      <c r="L21" s="13"/>
    </row>
    <row r="22" spans="1:12" ht="33" customHeight="1">
      <c r="A22" s="1386"/>
      <c r="B22" s="1386"/>
      <c r="C22" s="363" t="s">
        <v>1081</v>
      </c>
      <c r="D22" s="312"/>
      <c r="E22" s="1155" t="str">
        <f>E21</f>
        <v>НДС не предусмотрен</v>
      </c>
      <c r="G22" s="1410"/>
      <c r="H22" s="1407"/>
      <c r="I22" s="318" t="s">
        <v>1128</v>
      </c>
      <c r="J22" s="1064"/>
      <c r="K22" s="1155" t="str">
        <f>K21</f>
        <v>НДС не предусмотрен</v>
      </c>
      <c r="L22" s="13"/>
    </row>
    <row r="25" spans="1:12" ht="18.75" customHeight="1">
      <c r="A25" s="1395" t="s">
        <v>1003</v>
      </c>
      <c r="B25" s="1375"/>
      <c r="C25" s="1375"/>
      <c r="D25" s="1375"/>
      <c r="E25" s="1375"/>
      <c r="F25" s="1375"/>
      <c r="G25" s="1375"/>
      <c r="H25" s="1375"/>
      <c r="I25" s="1375"/>
      <c r="J25" s="1375"/>
      <c r="K25" s="1375"/>
    </row>
    <row r="26" spans="1:12">
      <c r="A26" s="5"/>
      <c r="B26" s="5"/>
      <c r="C26" s="5"/>
      <c r="D26" s="5"/>
      <c r="E26" s="364"/>
      <c r="F26" s="364"/>
      <c r="G26" s="364"/>
      <c r="H26" s="364"/>
      <c r="I26" s="364"/>
      <c r="J26" s="5"/>
      <c r="K26" s="5"/>
    </row>
    <row r="27" spans="1:12" ht="91.5" customHeight="1">
      <c r="A27" s="1077" t="s">
        <v>183</v>
      </c>
      <c r="B27" s="1402" t="s">
        <v>467</v>
      </c>
      <c r="C27" s="1402"/>
      <c r="D27" s="1402"/>
      <c r="E27" s="1071" t="s">
        <v>522</v>
      </c>
      <c r="F27" s="776"/>
      <c r="G27" s="1074" t="s">
        <v>1810</v>
      </c>
      <c r="H27" s="602" t="s">
        <v>1811</v>
      </c>
      <c r="I27" s="602" t="s">
        <v>1812</v>
      </c>
      <c r="J27" s="1402" t="s">
        <v>459</v>
      </c>
      <c r="K27" s="1402"/>
    </row>
    <row r="28" spans="1:12">
      <c r="A28" s="1076">
        <v>1</v>
      </c>
      <c r="B28" s="1403" t="s">
        <v>613</v>
      </c>
      <c r="C28" s="1403"/>
      <c r="D28" s="1403"/>
      <c r="E28" s="1072" t="s">
        <v>1004</v>
      </c>
      <c r="F28" s="777"/>
      <c r="G28" s="1147"/>
      <c r="H28" s="1065">
        <f>G28</f>
        <v>0</v>
      </c>
      <c r="I28" s="1065">
        <f>H28</f>
        <v>0</v>
      </c>
      <c r="J28" s="1396" t="s">
        <v>1816</v>
      </c>
      <c r="K28" s="1397"/>
    </row>
    <row r="29" spans="1:12">
      <c r="A29" s="1076">
        <v>2</v>
      </c>
      <c r="B29" s="1404" t="s">
        <v>1005</v>
      </c>
      <c r="C29" s="1404"/>
      <c r="D29" s="1404"/>
      <c r="E29" s="1072" t="s">
        <v>246</v>
      </c>
      <c r="F29" s="777"/>
      <c r="G29" s="1152">
        <v>1</v>
      </c>
      <c r="H29" s="1153">
        <v>1</v>
      </c>
      <c r="I29" s="1153">
        <v>1</v>
      </c>
      <c r="J29" s="1398"/>
      <c r="K29" s="1399"/>
    </row>
    <row r="30" spans="1:12">
      <c r="A30" s="1076">
        <v>3</v>
      </c>
      <c r="B30" s="1404" t="s">
        <v>932</v>
      </c>
      <c r="C30" s="1404"/>
      <c r="D30" s="1404"/>
      <c r="E30" s="1072" t="s">
        <v>246</v>
      </c>
      <c r="F30" s="777"/>
      <c r="G30" s="1147"/>
      <c r="H30" s="1148"/>
      <c r="I30" s="1148"/>
      <c r="J30" s="1398"/>
      <c r="K30" s="1399"/>
    </row>
    <row r="31" spans="1:12" ht="50.25" customHeight="1">
      <c r="A31" s="1076">
        <v>4</v>
      </c>
      <c r="B31" s="1404" t="s">
        <v>531</v>
      </c>
      <c r="C31" s="1404"/>
      <c r="D31" s="1404"/>
      <c r="E31" s="1073" t="s">
        <v>246</v>
      </c>
      <c r="F31" s="1070"/>
      <c r="G31" s="1147"/>
      <c r="H31" s="1148"/>
      <c r="I31" s="1148"/>
      <c r="J31" s="1398"/>
      <c r="K31" s="1399"/>
    </row>
    <row r="32" spans="1:12" ht="44.25" customHeight="1">
      <c r="A32" s="1076">
        <v>5</v>
      </c>
      <c r="B32" s="1404" t="s">
        <v>454</v>
      </c>
      <c r="C32" s="1404"/>
      <c r="D32" s="1404"/>
      <c r="E32" s="1073" t="s">
        <v>458</v>
      </c>
      <c r="F32" s="1070"/>
      <c r="G32" s="1147"/>
      <c r="H32" s="1148"/>
      <c r="I32" s="1148"/>
      <c r="J32" s="1398"/>
      <c r="K32" s="1399"/>
    </row>
    <row r="33" spans="1:11" ht="67.5" customHeight="1">
      <c r="A33" s="1076">
        <v>6</v>
      </c>
      <c r="B33" s="1404" t="s">
        <v>976</v>
      </c>
      <c r="C33" s="1404"/>
      <c r="D33" s="1404"/>
      <c r="E33" s="1073" t="s">
        <v>458</v>
      </c>
      <c r="F33" s="1070"/>
      <c r="G33" s="1147"/>
      <c r="H33" s="1148"/>
      <c r="I33" s="1148"/>
      <c r="J33" s="1400"/>
      <c r="K33" s="1401"/>
    </row>
    <row r="36" spans="1:11" ht="15.75" customHeight="1">
      <c r="C36" s="1393" t="s">
        <v>298</v>
      </c>
      <c r="D36" s="1393"/>
      <c r="E36" s="1393"/>
      <c r="F36" s="1393"/>
      <c r="G36" s="1393"/>
      <c r="H36" s="1393"/>
    </row>
    <row r="37" spans="1:11">
      <c r="C37" s="5"/>
      <c r="D37" s="1154"/>
      <c r="E37" s="5"/>
      <c r="F37" s="5"/>
      <c r="G37" s="5"/>
      <c r="H37" s="5"/>
    </row>
    <row r="38" spans="1:11" ht="31.5" customHeight="1">
      <c r="C38" s="1393" t="s">
        <v>299</v>
      </c>
      <c r="D38" s="1393"/>
      <c r="E38" s="1393" t="s">
        <v>300</v>
      </c>
      <c r="F38" s="1393"/>
      <c r="G38" s="1393"/>
      <c r="H38" s="12" t="s">
        <v>301</v>
      </c>
    </row>
    <row r="40" spans="1:11">
      <c r="C40" s="1389">
        <f>Титульный!B23</f>
        <v>0</v>
      </c>
      <c r="D40" s="1390"/>
      <c r="E40" s="1388"/>
      <c r="F40" s="1388"/>
      <c r="G40" s="1388"/>
      <c r="H40" s="1381">
        <f>IF(E40="доходы",6,IF(E40="доходы минус расходы",10,20))</f>
        <v>20</v>
      </c>
    </row>
    <row r="41" spans="1:11">
      <c r="C41" s="1391"/>
      <c r="D41" s="1392"/>
      <c r="E41" s="1388"/>
      <c r="F41" s="1388"/>
      <c r="G41" s="1388"/>
      <c r="H41" s="1382"/>
    </row>
    <row r="43" spans="1:11" ht="42.75" customHeight="1"/>
    <row r="44" spans="1:11" ht="24" customHeight="1"/>
    <row r="45" spans="1:11" ht="27.75" customHeight="1"/>
    <row r="46" spans="1:11" ht="25.5" customHeight="1"/>
    <row r="47" spans="1:11" ht="30.75" customHeight="1"/>
    <row r="48" spans="1:11" ht="39" customHeight="1"/>
    <row r="49" ht="47.25" customHeight="1"/>
  </sheetData>
  <sheetProtection password="F66E" sheet="1" objects="1" scenarios="1" formatCells="0" formatColumns="0" formatRows="0"/>
  <mergeCells count="41">
    <mergeCell ref="A16:E16"/>
    <mergeCell ref="G16:K16"/>
    <mergeCell ref="A25:K25"/>
    <mergeCell ref="J28:K33"/>
    <mergeCell ref="C38:D38"/>
    <mergeCell ref="E38:G38"/>
    <mergeCell ref="B27:D27"/>
    <mergeCell ref="B28:D28"/>
    <mergeCell ref="B29:D29"/>
    <mergeCell ref="B30:D30"/>
    <mergeCell ref="B31:D31"/>
    <mergeCell ref="B32:D32"/>
    <mergeCell ref="H17:H22"/>
    <mergeCell ref="J27:K27"/>
    <mergeCell ref="B33:D33"/>
    <mergeCell ref="G17:G22"/>
    <mergeCell ref="H40:H41"/>
    <mergeCell ref="A17:A18"/>
    <mergeCell ref="B17:B18"/>
    <mergeCell ref="A19:A20"/>
    <mergeCell ref="B19:B20"/>
    <mergeCell ref="A21:A22"/>
    <mergeCell ref="B21:B22"/>
    <mergeCell ref="E40:G41"/>
    <mergeCell ref="C40:D41"/>
    <mergeCell ref="C36:H36"/>
    <mergeCell ref="A13:E13"/>
    <mergeCell ref="G13:K13"/>
    <mergeCell ref="A6:B6"/>
    <mergeCell ref="C6:J6"/>
    <mergeCell ref="A2:J2"/>
    <mergeCell ref="A4:B4"/>
    <mergeCell ref="C4:J4"/>
    <mergeCell ref="A5:B5"/>
    <mergeCell ref="C5:J5"/>
    <mergeCell ref="A7:B7"/>
    <mergeCell ref="C7:J7"/>
    <mergeCell ref="A8:B8"/>
    <mergeCell ref="C8:J8"/>
    <mergeCell ref="A9:B9"/>
    <mergeCell ref="C9:J9"/>
  </mergeCells>
  <pageMargins left="0.7" right="0.7" top="0.75" bottom="0.75" header="0.3" footer="0.3"/>
  <pageSetup paperSize="9" scale="54"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CHOOSE(VLOOKUP($C$40,списки!I3:J4,2,FALSE),осн,усн)</xm:f>
          </x14:formula1>
          <xm:sqref>E40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D44"/>
  <sheetViews>
    <sheetView topLeftCell="A22" workbookViewId="0">
      <selection activeCell="D24" sqref="D24"/>
    </sheetView>
  </sheetViews>
  <sheetFormatPr defaultColWidth="10.28515625" defaultRowHeight="15.75"/>
  <cols>
    <col min="1" max="1" width="10.28515625" style="14"/>
    <col min="2" max="2" width="80.5703125" style="14" customWidth="1"/>
    <col min="3" max="3" width="10.28515625" style="14"/>
    <col min="4" max="4" width="25.5703125" style="14" customWidth="1"/>
    <col min="5" max="16384" width="10.28515625" style="14"/>
  </cols>
  <sheetData>
    <row r="1" spans="1:4">
      <c r="A1" s="1411" t="s">
        <v>307</v>
      </c>
      <c r="B1" s="1411"/>
      <c r="C1" s="1411"/>
      <c r="D1" s="1411"/>
    </row>
    <row r="2" spans="1:4" ht="10.5" customHeight="1">
      <c r="A2" s="15"/>
      <c r="B2" s="15"/>
      <c r="C2" s="15"/>
      <c r="D2" s="15"/>
    </row>
    <row r="3" spans="1:4">
      <c r="A3" s="1412" t="str">
        <f>Титульный!B10</f>
        <v xml:space="preserve"> </v>
      </c>
      <c r="B3" s="1412"/>
      <c r="C3" s="1412"/>
      <c r="D3" s="1412"/>
    </row>
    <row r="4" spans="1:4" ht="6" customHeight="1">
      <c r="A4" s="1413"/>
      <c r="B4" s="1413"/>
      <c r="C4" s="1413"/>
      <c r="D4" s="1413"/>
    </row>
    <row r="5" spans="1:4">
      <c r="A5" s="1414" t="str">
        <f>Титульный!B21</f>
        <v/>
      </c>
      <c r="B5" s="1414"/>
      <c r="C5" s="1414"/>
      <c r="D5" s="1414"/>
    </row>
    <row r="6" spans="1:4" ht="7.5" customHeight="1">
      <c r="A6" s="1079"/>
      <c r="B6" s="1079"/>
      <c r="C6" s="1079"/>
      <c r="D6" s="1079"/>
    </row>
    <row r="7" spans="1:4" s="626" customFormat="1">
      <c r="A7" s="624" t="s">
        <v>199</v>
      </c>
      <c r="B7" s="625">
        <f>Титульный!B6</f>
        <v>0</v>
      </c>
      <c r="C7" s="624" t="s">
        <v>200</v>
      </c>
      <c r="D7" s="625">
        <f>Титульный!B7</f>
        <v>0</v>
      </c>
    </row>
    <row r="8" spans="1:4">
      <c r="A8" s="1156" t="s">
        <v>183</v>
      </c>
      <c r="B8" s="1156" t="s">
        <v>308</v>
      </c>
      <c r="C8" s="1156" t="s">
        <v>184</v>
      </c>
      <c r="D8" s="1156" t="s">
        <v>309</v>
      </c>
    </row>
    <row r="9" spans="1:4" ht="30.75" customHeight="1">
      <c r="A9" s="1157" t="s">
        <v>387</v>
      </c>
      <c r="B9" s="1158" t="s">
        <v>312</v>
      </c>
      <c r="C9" s="1157" t="s">
        <v>310</v>
      </c>
      <c r="D9" s="17"/>
    </row>
    <row r="10" spans="1:4">
      <c r="A10" s="1157" t="s">
        <v>311</v>
      </c>
      <c r="B10" s="1159" t="s">
        <v>313</v>
      </c>
      <c r="C10" s="1160" t="s">
        <v>314</v>
      </c>
      <c r="D10" s="18"/>
    </row>
    <row r="11" spans="1:4">
      <c r="A11" s="1157" t="s">
        <v>207</v>
      </c>
      <c r="B11" s="1159" t="s">
        <v>315</v>
      </c>
      <c r="C11" s="1157" t="s">
        <v>316</v>
      </c>
      <c r="D11" s="20">
        <f>'Техн характер системы'!F95/1000</f>
        <v>0</v>
      </c>
    </row>
    <row r="12" spans="1:4">
      <c r="A12" s="1157" t="s">
        <v>212</v>
      </c>
      <c r="B12" s="1159" t="s">
        <v>318</v>
      </c>
      <c r="C12" s="1157" t="s">
        <v>246</v>
      </c>
      <c r="D12" s="18"/>
    </row>
    <row r="13" spans="1:4">
      <c r="A13" s="1157" t="s">
        <v>213</v>
      </c>
      <c r="B13" s="1161" t="s">
        <v>319</v>
      </c>
      <c r="C13" s="1157" t="s">
        <v>246</v>
      </c>
      <c r="D13" s="18"/>
    </row>
    <row r="14" spans="1:4">
      <c r="A14" s="1157" t="s">
        <v>214</v>
      </c>
      <c r="B14" s="1161" t="s">
        <v>320</v>
      </c>
      <c r="C14" s="1157" t="s">
        <v>246</v>
      </c>
      <c r="D14" s="18"/>
    </row>
    <row r="15" spans="1:4">
      <c r="A15" s="1157" t="s">
        <v>215</v>
      </c>
      <c r="B15" s="1161" t="s">
        <v>321</v>
      </c>
      <c r="C15" s="1157" t="s">
        <v>246</v>
      </c>
      <c r="D15" s="18"/>
    </row>
    <row r="16" spans="1:4" ht="22.5">
      <c r="A16" s="1157" t="s">
        <v>324</v>
      </c>
      <c r="B16" s="1159" t="s">
        <v>322</v>
      </c>
      <c r="C16" s="1157" t="s">
        <v>323</v>
      </c>
      <c r="D16" s="19"/>
    </row>
    <row r="17" spans="1:4" ht="22.5">
      <c r="A17" s="1157" t="s">
        <v>317</v>
      </c>
      <c r="B17" s="1159" t="s">
        <v>325</v>
      </c>
      <c r="C17" s="1157" t="s">
        <v>326</v>
      </c>
      <c r="D17" s="18"/>
    </row>
    <row r="18" spans="1:4">
      <c r="A18" s="1157" t="s">
        <v>328</v>
      </c>
      <c r="B18" s="1159" t="s">
        <v>327</v>
      </c>
      <c r="C18" s="1157" t="s">
        <v>316</v>
      </c>
      <c r="D18" s="20">
        <f>'Техн характер системы'!I89-'Техн характер системы'!E89</f>
        <v>0</v>
      </c>
    </row>
    <row r="19" spans="1:4">
      <c r="A19" s="1157" t="s">
        <v>330</v>
      </c>
      <c r="B19" s="1159" t="s">
        <v>384</v>
      </c>
      <c r="C19" s="1157" t="s">
        <v>310</v>
      </c>
      <c r="D19" s="17"/>
    </row>
    <row r="20" spans="1:4">
      <c r="A20" s="1157" t="s">
        <v>332</v>
      </c>
      <c r="B20" s="1162" t="s">
        <v>385</v>
      </c>
      <c r="C20" s="1157" t="s">
        <v>316</v>
      </c>
      <c r="D20" s="18"/>
    </row>
    <row r="21" spans="1:4">
      <c r="A21" s="1157" t="s">
        <v>335</v>
      </c>
      <c r="B21" s="1162" t="s">
        <v>386</v>
      </c>
      <c r="C21" s="1157" t="s">
        <v>323</v>
      </c>
      <c r="D21" s="19"/>
    </row>
    <row r="22" spans="1:4">
      <c r="A22" s="1157" t="s">
        <v>338</v>
      </c>
      <c r="B22" s="1159" t="s">
        <v>329</v>
      </c>
      <c r="C22" s="1157" t="s">
        <v>323</v>
      </c>
      <c r="D22" s="17"/>
    </row>
    <row r="23" spans="1:4">
      <c r="A23" s="1157" t="s">
        <v>340</v>
      </c>
      <c r="B23" s="1162" t="s">
        <v>383</v>
      </c>
      <c r="C23" s="1157" t="s">
        <v>316</v>
      </c>
      <c r="D23" s="20">
        <f>'Техн характер бсх'!F95/1000</f>
        <v>0</v>
      </c>
    </row>
    <row r="24" spans="1:4">
      <c r="A24" s="1157" t="s">
        <v>341</v>
      </c>
      <c r="B24" s="1162" t="s">
        <v>386</v>
      </c>
      <c r="C24" s="1157" t="s">
        <v>323</v>
      </c>
      <c r="D24" s="19"/>
    </row>
    <row r="25" spans="1:4">
      <c r="A25" s="1157" t="s">
        <v>342</v>
      </c>
      <c r="B25" s="1161" t="s">
        <v>331</v>
      </c>
      <c r="C25" s="1157"/>
      <c r="D25" s="19"/>
    </row>
    <row r="26" spans="1:4">
      <c r="A26" s="1157" t="s">
        <v>344</v>
      </c>
      <c r="B26" s="1161" t="s">
        <v>333</v>
      </c>
      <c r="C26" s="1157" t="s">
        <v>334</v>
      </c>
      <c r="D26" s="19"/>
    </row>
    <row r="27" spans="1:4">
      <c r="A27" s="1157" t="s">
        <v>345</v>
      </c>
      <c r="B27" s="1161" t="s">
        <v>336</v>
      </c>
      <c r="C27" s="1157" t="s">
        <v>334</v>
      </c>
      <c r="D27" s="19"/>
    </row>
    <row r="28" spans="1:4">
      <c r="A28" s="1157" t="s">
        <v>346</v>
      </c>
      <c r="B28" s="1161" t="s">
        <v>337</v>
      </c>
      <c r="C28" s="1157" t="s">
        <v>334</v>
      </c>
      <c r="D28" s="19"/>
    </row>
    <row r="29" spans="1:4">
      <c r="A29" s="1157" t="s">
        <v>347</v>
      </c>
      <c r="B29" s="1161" t="s">
        <v>339</v>
      </c>
      <c r="C29" s="1157"/>
      <c r="D29" s="19"/>
    </row>
    <row r="30" spans="1:4">
      <c r="A30" s="1157" t="s">
        <v>349</v>
      </c>
      <c r="B30" s="1161" t="s">
        <v>333</v>
      </c>
      <c r="C30" s="1157" t="s">
        <v>334</v>
      </c>
      <c r="D30" s="19"/>
    </row>
    <row r="31" spans="1:4">
      <c r="A31" s="1157" t="s">
        <v>388</v>
      </c>
      <c r="B31" s="1161" t="s">
        <v>336</v>
      </c>
      <c r="C31" s="1157" t="s">
        <v>334</v>
      </c>
      <c r="D31" s="19"/>
    </row>
    <row r="32" spans="1:4">
      <c r="A32" s="1157" t="s">
        <v>389</v>
      </c>
      <c r="B32" s="1161" t="s">
        <v>337</v>
      </c>
      <c r="C32" s="1157" t="s">
        <v>334</v>
      </c>
      <c r="D32" s="19"/>
    </row>
    <row r="33" spans="1:4">
      <c r="A33" s="1157" t="s">
        <v>351</v>
      </c>
      <c r="B33" s="1163" t="s">
        <v>343</v>
      </c>
      <c r="C33" s="1157" t="s">
        <v>246</v>
      </c>
      <c r="D33" s="20">
        <f>IF(SUM(D34:D36)=0,0,AVERAGE((D34:D36)))</f>
        <v>0</v>
      </c>
    </row>
    <row r="34" spans="1:4">
      <c r="A34" s="1157" t="s">
        <v>353</v>
      </c>
      <c r="B34" s="1161" t="s">
        <v>333</v>
      </c>
      <c r="C34" s="1157" t="s">
        <v>246</v>
      </c>
      <c r="D34" s="21">
        <f>IF(D26=0,0,D30/D26*100)</f>
        <v>0</v>
      </c>
    </row>
    <row r="35" spans="1:4">
      <c r="A35" s="1157" t="s">
        <v>390</v>
      </c>
      <c r="B35" s="1161" t="s">
        <v>336</v>
      </c>
      <c r="C35" s="1157" t="s">
        <v>246</v>
      </c>
      <c r="D35" s="21">
        <f>IF(D27=0,0,D31/D27*100)</f>
        <v>0</v>
      </c>
    </row>
    <row r="36" spans="1:4">
      <c r="A36" s="1157" t="s">
        <v>391</v>
      </c>
      <c r="B36" s="1161" t="s">
        <v>337</v>
      </c>
      <c r="C36" s="1157" t="s">
        <v>246</v>
      </c>
      <c r="D36" s="21">
        <f t="shared" ref="D36" si="0">IF(D28=0,0,D32/D28*100)</f>
        <v>0</v>
      </c>
    </row>
    <row r="37" spans="1:4">
      <c r="A37" s="1157" t="s">
        <v>354</v>
      </c>
      <c r="B37" s="1158" t="s">
        <v>348</v>
      </c>
      <c r="C37" s="1157" t="s">
        <v>310</v>
      </c>
      <c r="D37" s="17"/>
    </row>
    <row r="38" spans="1:4">
      <c r="A38" s="1157" t="s">
        <v>356</v>
      </c>
      <c r="B38" s="1158" t="s">
        <v>350</v>
      </c>
      <c r="C38" s="1157" t="s">
        <v>310</v>
      </c>
      <c r="D38" s="575"/>
    </row>
    <row r="39" spans="1:4">
      <c r="A39" s="1157" t="s">
        <v>357</v>
      </c>
      <c r="B39" s="1158" t="s">
        <v>352</v>
      </c>
      <c r="C39" s="1157" t="s">
        <v>310</v>
      </c>
      <c r="D39" s="17"/>
    </row>
    <row r="40" spans="1:4">
      <c r="A40" s="1157" t="s">
        <v>359</v>
      </c>
      <c r="B40" s="1158" t="s">
        <v>350</v>
      </c>
      <c r="C40" s="1157" t="s">
        <v>310</v>
      </c>
      <c r="D40" s="574"/>
    </row>
    <row r="41" spans="1:4">
      <c r="A41" s="1157" t="s">
        <v>392</v>
      </c>
      <c r="B41" s="1158" t="s">
        <v>355</v>
      </c>
      <c r="C41" s="1157" t="s">
        <v>310</v>
      </c>
      <c r="D41" s="17"/>
    </row>
    <row r="42" spans="1:4">
      <c r="A42" s="1157" t="s">
        <v>393</v>
      </c>
      <c r="B42" s="1158" t="s">
        <v>350</v>
      </c>
      <c r="C42" s="1157" t="s">
        <v>310</v>
      </c>
      <c r="D42" s="22"/>
    </row>
    <row r="43" spans="1:4">
      <c r="A43" s="1157" t="s">
        <v>394</v>
      </c>
      <c r="B43" s="1159" t="s">
        <v>358</v>
      </c>
      <c r="C43" s="1157" t="s">
        <v>310</v>
      </c>
      <c r="D43" s="17"/>
    </row>
    <row r="44" spans="1:4">
      <c r="A44" s="1157" t="s">
        <v>395</v>
      </c>
      <c r="B44" s="1159" t="s">
        <v>360</v>
      </c>
      <c r="C44" s="1157" t="s">
        <v>310</v>
      </c>
      <c r="D44" s="22"/>
    </row>
  </sheetData>
  <sheetProtection password="F66E" sheet="1" objects="1" scenarios="1" formatCells="0" formatColumns="0" formatRows="0" insertColumns="0" insertRows="0"/>
  <mergeCells count="4">
    <mergeCell ref="A1:D1"/>
    <mergeCell ref="A3:D3"/>
    <mergeCell ref="A4:D4"/>
    <mergeCell ref="A5:D5"/>
  </mergeCells>
  <dataValidations count="6">
    <dataValidation type="decimal" allowBlank="1" showErrorMessage="1" errorTitle="Ошибка" error="Допускается ввод только действительных чисел!" sqref="D20 D17:D18 D12:D15">
      <formula1>-9.99999999999999E+23</formula1>
      <formula2>9.99999999999999E+23</formula2>
    </dataValidation>
    <dataValidation type="decimal" allowBlank="1" showErrorMessage="1" errorTitle="Ошибка" error="Допускается ввод только неотрицательных чисел!" sqref="D10:D11">
      <formula1>0</formula1>
      <formula2>9.99999999999999E+23</formula2>
    </dataValidation>
    <dataValidation type="whole" allowBlank="1" showErrorMessage="1" errorTitle="Ошибка" error="Допускается ввод только целых чисел!" sqref="D16">
      <formula1>-9.99999999999999E+23</formula1>
      <formula2>9.99999999999999E+23</formula2>
    </dataValidation>
    <dataValidation type="whole" allowBlank="1" showErrorMessage="1" errorTitle="Ошибка" error="Допускается ввод только неотрицательных целых чисел!" sqref="D34:D36 D21 D23:D32">
      <formula1>0</formula1>
      <formula2>9.99999999999999E+23</formula2>
    </dataValidation>
    <dataValidation type="textLength" operator="lessThanOrEqual" allowBlank="1" showInputMessage="1" showErrorMessage="1" errorTitle="Ошибка" error="Допускается ввод не более 900 символов!" sqref="D38">
      <formula1>900</formula1>
    </dataValidation>
    <dataValidation type="list" allowBlank="1" showInputMessage="1" showErrorMessage="1" errorTitle="Ошибка" error="Выберите значение из списка" prompt="Выберите значение из списка" sqref="D9 D19 D22 D37 D39 D41 D43">
      <formula1>выбор</formula1>
    </dataValidation>
  </dataValidations>
  <pageMargins left="0.51181102362204722" right="0.11811023622047245" top="0.74803149606299213" bottom="0.74803149606299213" header="0.31496062992125984" footer="0.31496062992125984"/>
  <pageSetup paperSize="9" scale="7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dimension ref="A1:P131"/>
  <sheetViews>
    <sheetView topLeftCell="A77" workbookViewId="0">
      <selection activeCell="E94" sqref="E94"/>
    </sheetView>
  </sheetViews>
  <sheetFormatPr defaultColWidth="10.28515625" defaultRowHeight="15"/>
  <cols>
    <col min="1" max="1" width="38.7109375" style="223" customWidth="1"/>
    <col min="2" max="4" width="17.5703125" style="223" customWidth="1"/>
    <col min="5" max="6" width="16.85546875" style="223" customWidth="1"/>
    <col min="7" max="7" width="15.7109375" style="223" customWidth="1"/>
    <col min="8" max="8" width="17" style="223" customWidth="1"/>
    <col min="9" max="9" width="14.28515625" style="223" customWidth="1"/>
    <col min="10" max="10" width="13.42578125" style="223" customWidth="1"/>
    <col min="11" max="11" width="17.140625" style="223" customWidth="1"/>
    <col min="12" max="12" width="37" style="223" hidden="1" customWidth="1"/>
    <col min="13" max="14" width="15.140625" style="223" hidden="1" customWidth="1"/>
    <col min="15" max="15" width="16.5703125" style="223" hidden="1" customWidth="1"/>
    <col min="16" max="16" width="16.85546875" style="223" hidden="1" customWidth="1"/>
    <col min="17" max="16384" width="10.28515625" style="223"/>
  </cols>
  <sheetData>
    <row r="1" spans="1:16" ht="18.75">
      <c r="A1" s="1415" t="str">
        <f>Титульный!B10</f>
        <v xml:space="preserve"> </v>
      </c>
      <c r="B1" s="1416"/>
      <c r="C1" s="1416"/>
      <c r="D1" s="1416"/>
      <c r="E1" s="1416"/>
      <c r="F1" s="1416"/>
      <c r="G1" s="1416"/>
      <c r="H1" s="1416"/>
      <c r="I1" s="1416"/>
      <c r="J1" s="1416"/>
      <c r="K1" s="1416"/>
      <c r="L1" s="173"/>
      <c r="M1" s="173"/>
      <c r="N1" s="173"/>
      <c r="O1" s="173"/>
      <c r="P1" s="173"/>
    </row>
    <row r="2" spans="1:16">
      <c r="A2" s="173"/>
      <c r="B2" s="173"/>
      <c r="C2" s="173"/>
      <c r="D2" s="173"/>
      <c r="E2" s="173"/>
      <c r="F2" s="173"/>
      <c r="G2" s="173"/>
      <c r="H2" s="173"/>
      <c r="I2" s="173"/>
      <c r="J2" s="173"/>
      <c r="K2" s="173"/>
      <c r="L2" s="173"/>
      <c r="M2" s="173"/>
      <c r="N2" s="173"/>
      <c r="O2" s="173"/>
      <c r="P2" s="173"/>
    </row>
    <row r="3" spans="1:16" s="627" customFormat="1" ht="18.75">
      <c r="A3" s="1417" t="s">
        <v>1587</v>
      </c>
      <c r="B3" s="1417"/>
      <c r="C3" s="1417"/>
      <c r="D3" s="1417"/>
      <c r="E3" s="1417"/>
      <c r="F3" s="1417"/>
      <c r="G3" s="1417"/>
      <c r="H3" s="1417"/>
      <c r="I3" s="1417"/>
      <c r="J3" s="1417"/>
      <c r="K3" s="1417"/>
      <c r="L3" s="1165"/>
      <c r="M3" s="1165"/>
      <c r="N3" s="1165"/>
      <c r="O3" s="1165"/>
      <c r="P3" s="1165"/>
    </row>
    <row r="4" spans="1:16" s="627" customFormat="1" ht="18.75">
      <c r="A4" s="1081"/>
      <c r="B4" s="1081"/>
      <c r="C4" s="1081"/>
      <c r="D4" s="1081"/>
      <c r="E4" s="1081"/>
      <c r="F4" s="1081"/>
      <c r="G4" s="1081"/>
      <c r="H4" s="1081"/>
      <c r="I4" s="1081"/>
      <c r="J4" s="1081"/>
      <c r="K4" s="1081"/>
      <c r="L4" s="1165"/>
      <c r="M4" s="1165"/>
      <c r="N4" s="1165"/>
      <c r="O4" s="1165"/>
      <c r="P4" s="1165"/>
    </row>
    <row r="5" spans="1:16" s="627" customFormat="1" ht="20.25">
      <c r="A5" s="1418" t="str">
        <f>Титульный!B21</f>
        <v/>
      </c>
      <c r="B5" s="1418"/>
      <c r="C5" s="1418"/>
      <c r="D5" s="1418"/>
      <c r="E5" s="1418"/>
      <c r="F5" s="1418"/>
      <c r="G5" s="1418"/>
      <c r="H5" s="1418"/>
      <c r="I5" s="1418"/>
      <c r="J5" s="1418"/>
      <c r="K5" s="1418"/>
      <c r="L5" s="1165"/>
      <c r="M5" s="1165"/>
      <c r="N5" s="1165"/>
      <c r="O5" s="1165"/>
      <c r="P5" s="1165"/>
    </row>
    <row r="6" spans="1:16" s="627" customFormat="1" ht="18.75">
      <c r="A6" s="1081"/>
      <c r="B6" s="630"/>
      <c r="C6" s="1081"/>
      <c r="D6" s="1081"/>
      <c r="E6" s="1165"/>
      <c r="F6" s="1165"/>
      <c r="G6" s="1081"/>
      <c r="H6" s="1081"/>
      <c r="I6" s="1081"/>
      <c r="J6" s="1081"/>
      <c r="K6" s="1081"/>
      <c r="L6" s="1165"/>
      <c r="M6" s="1165"/>
      <c r="N6" s="1165"/>
      <c r="O6" s="1165"/>
      <c r="P6" s="1165"/>
    </row>
    <row r="7" spans="1:16" s="627" customFormat="1" ht="18.75">
      <c r="A7" s="1165"/>
      <c r="B7" s="1165"/>
      <c r="C7" s="1081"/>
      <c r="D7" s="1081"/>
      <c r="E7" s="1081"/>
      <c r="F7" s="1081"/>
      <c r="G7" s="1081"/>
      <c r="H7" s="1081"/>
      <c r="I7" s="1081"/>
      <c r="J7" s="1081"/>
      <c r="K7" s="1081"/>
      <c r="L7" s="1165"/>
      <c r="M7" s="1165"/>
      <c r="N7" s="1165"/>
      <c r="O7" s="1165"/>
      <c r="P7" s="1165"/>
    </row>
    <row r="8" spans="1:16" s="627" customFormat="1" ht="18.75">
      <c r="A8" s="628" t="s">
        <v>199</v>
      </c>
      <c r="B8" s="629">
        <f>Титульный!B6</f>
        <v>0</v>
      </c>
      <c r="C8" s="1081"/>
      <c r="D8" s="1081"/>
      <c r="E8" s="628" t="s">
        <v>200</v>
      </c>
      <c r="F8" s="629">
        <f>Титульный!B7</f>
        <v>0</v>
      </c>
      <c r="G8" s="1081"/>
      <c r="H8" s="1081"/>
      <c r="I8" s="1081"/>
      <c r="J8" s="1081"/>
      <c r="K8" s="1081"/>
      <c r="L8" s="1165"/>
      <c r="M8" s="1165"/>
      <c r="N8" s="1165"/>
      <c r="O8" s="1165"/>
      <c r="P8" s="1165"/>
    </row>
    <row r="9" spans="1:16" ht="15.75" customHeight="1">
      <c r="A9" s="1419" t="s">
        <v>362</v>
      </c>
      <c r="B9" s="1422" t="s">
        <v>1588</v>
      </c>
      <c r="C9" s="1422" t="s">
        <v>1589</v>
      </c>
      <c r="D9" s="1422" t="s">
        <v>1590</v>
      </c>
      <c r="E9" s="1422" t="s">
        <v>363</v>
      </c>
      <c r="F9" s="1422" t="s">
        <v>364</v>
      </c>
      <c r="G9" s="1422" t="s">
        <v>365</v>
      </c>
      <c r="H9" s="1422" t="s">
        <v>366</v>
      </c>
      <c r="I9" s="1425" t="s">
        <v>367</v>
      </c>
      <c r="J9" s="1426"/>
      <c r="K9" s="1427"/>
      <c r="L9" s="173"/>
      <c r="M9" s="173"/>
      <c r="N9" s="173"/>
      <c r="O9" s="173"/>
      <c r="P9" s="173"/>
    </row>
    <row r="10" spans="1:16" ht="27.6" customHeight="1">
      <c r="A10" s="1420"/>
      <c r="B10" s="1423"/>
      <c r="C10" s="1423"/>
      <c r="D10" s="1423"/>
      <c r="E10" s="1423"/>
      <c r="F10" s="1423"/>
      <c r="G10" s="1423"/>
      <c r="H10" s="1423"/>
      <c r="I10" s="1425" t="s">
        <v>368</v>
      </c>
      <c r="J10" s="1427"/>
      <c r="K10" s="1422" t="s">
        <v>371</v>
      </c>
      <c r="L10" s="173"/>
      <c r="M10" s="173"/>
      <c r="N10" s="173"/>
      <c r="O10" s="173"/>
      <c r="P10" s="173"/>
    </row>
    <row r="11" spans="1:16" ht="61.9" customHeight="1">
      <c r="A11" s="1421"/>
      <c r="B11" s="1424"/>
      <c r="C11" s="1424"/>
      <c r="D11" s="1424"/>
      <c r="E11" s="1424"/>
      <c r="F11" s="1424"/>
      <c r="G11" s="1424"/>
      <c r="H11" s="1424"/>
      <c r="I11" s="1082" t="s">
        <v>369</v>
      </c>
      <c r="J11" s="1082" t="s">
        <v>370</v>
      </c>
      <c r="K11" s="1424"/>
      <c r="L11" s="173"/>
      <c r="M11" s="173"/>
      <c r="N11" s="173"/>
      <c r="O11" s="173"/>
      <c r="P11" s="173"/>
    </row>
    <row r="12" spans="1:16" ht="15.75">
      <c r="A12" s="631" t="s">
        <v>1591</v>
      </c>
      <c r="B12" s="632"/>
      <c r="C12" s="632"/>
      <c r="D12" s="632"/>
      <c r="E12" s="633"/>
      <c r="F12" s="633"/>
      <c r="G12" s="633"/>
      <c r="H12" s="632"/>
      <c r="I12" s="632"/>
      <c r="J12" s="632"/>
      <c r="K12" s="634"/>
      <c r="L12" s="173"/>
      <c r="M12" s="173"/>
      <c r="N12" s="173"/>
      <c r="O12" s="173"/>
      <c r="P12" s="173"/>
    </row>
    <row r="13" spans="1:16">
      <c r="A13" s="571"/>
      <c r="B13" s="571"/>
      <c r="C13" s="571"/>
      <c r="D13" s="571"/>
      <c r="E13" s="572"/>
      <c r="F13" s="572"/>
      <c r="G13" s="572"/>
      <c r="H13" s="571"/>
      <c r="I13" s="573"/>
      <c r="J13" s="573"/>
      <c r="K13" s="601"/>
      <c r="L13" s="173"/>
      <c r="M13" s="173"/>
      <c r="N13" s="173"/>
      <c r="O13" s="173"/>
      <c r="P13" s="173"/>
    </row>
    <row r="14" spans="1:16">
      <c r="A14" s="571"/>
      <c r="B14" s="571"/>
      <c r="C14" s="571"/>
      <c r="D14" s="571"/>
      <c r="E14" s="572"/>
      <c r="F14" s="572"/>
      <c r="G14" s="572"/>
      <c r="H14" s="571"/>
      <c r="I14" s="573"/>
      <c r="J14" s="573"/>
      <c r="K14" s="601"/>
      <c r="L14" s="173"/>
      <c r="M14" s="173"/>
      <c r="N14" s="173"/>
      <c r="O14" s="173"/>
      <c r="P14" s="173"/>
    </row>
    <row r="15" spans="1:16">
      <c r="A15" s="571"/>
      <c r="B15" s="571"/>
      <c r="C15" s="571"/>
      <c r="D15" s="571"/>
      <c r="E15" s="572"/>
      <c r="F15" s="572"/>
      <c r="G15" s="572"/>
      <c r="H15" s="571"/>
      <c r="I15" s="573"/>
      <c r="J15" s="573"/>
      <c r="K15" s="601"/>
      <c r="L15" s="173"/>
      <c r="M15" s="173"/>
      <c r="N15" s="173"/>
      <c r="O15" s="173"/>
      <c r="P15" s="173"/>
    </row>
    <row r="16" spans="1:16">
      <c r="A16" s="571"/>
      <c r="B16" s="571"/>
      <c r="C16" s="571"/>
      <c r="D16" s="571"/>
      <c r="E16" s="572"/>
      <c r="F16" s="572"/>
      <c r="G16" s="572"/>
      <c r="H16" s="571"/>
      <c r="I16" s="573"/>
      <c r="J16" s="573"/>
      <c r="K16" s="601"/>
      <c r="L16" s="173"/>
      <c r="M16" s="173"/>
      <c r="N16" s="173"/>
      <c r="O16" s="173"/>
      <c r="P16" s="173"/>
    </row>
    <row r="17" spans="1:16" ht="15.75">
      <c r="A17" s="635"/>
      <c r="B17" s="571"/>
      <c r="C17" s="571"/>
      <c r="D17" s="571"/>
      <c r="E17" s="572"/>
      <c r="F17" s="572"/>
      <c r="G17" s="572"/>
      <c r="H17" s="571"/>
      <c r="I17" s="573"/>
      <c r="J17" s="573"/>
      <c r="K17" s="601"/>
      <c r="L17" s="173"/>
      <c r="M17" s="173"/>
      <c r="N17" s="173"/>
      <c r="O17" s="173"/>
      <c r="P17" s="173"/>
    </row>
    <row r="18" spans="1:16" ht="15.75">
      <c r="A18" s="635"/>
      <c r="B18" s="571"/>
      <c r="C18" s="571"/>
      <c r="D18" s="571"/>
      <c r="E18" s="572"/>
      <c r="F18" s="572"/>
      <c r="G18" s="572"/>
      <c r="H18" s="571"/>
      <c r="I18" s="573"/>
      <c r="J18" s="573"/>
      <c r="K18" s="601"/>
      <c r="L18" s="173"/>
      <c r="M18" s="173"/>
      <c r="N18" s="173"/>
      <c r="O18" s="173"/>
      <c r="P18" s="173"/>
    </row>
    <row r="19" spans="1:16" ht="15.75">
      <c r="A19" s="635"/>
      <c r="B19" s="571"/>
      <c r="C19" s="571"/>
      <c r="D19" s="571"/>
      <c r="E19" s="572"/>
      <c r="F19" s="572"/>
      <c r="G19" s="572"/>
      <c r="H19" s="571"/>
      <c r="I19" s="573"/>
      <c r="J19" s="573"/>
      <c r="K19" s="601"/>
      <c r="L19" s="173"/>
      <c r="M19" s="173"/>
      <c r="N19" s="173"/>
      <c r="O19" s="173"/>
      <c r="P19" s="173"/>
    </row>
    <row r="20" spans="1:16" ht="15.75">
      <c r="A20" s="635"/>
      <c r="B20" s="571"/>
      <c r="C20" s="571"/>
      <c r="D20" s="571"/>
      <c r="E20" s="572"/>
      <c r="F20" s="572"/>
      <c r="G20" s="572"/>
      <c r="H20" s="571"/>
      <c r="I20" s="573"/>
      <c r="J20" s="573"/>
      <c r="K20" s="601"/>
      <c r="L20" s="173"/>
      <c r="M20" s="173"/>
      <c r="N20" s="173"/>
      <c r="O20" s="173"/>
      <c r="P20" s="173"/>
    </row>
    <row r="21" spans="1:16" ht="15.75">
      <c r="A21" s="636"/>
      <c r="B21" s="571"/>
      <c r="C21" s="571"/>
      <c r="D21" s="571"/>
      <c r="E21" s="572"/>
      <c r="F21" s="572"/>
      <c r="G21" s="572"/>
      <c r="H21" s="571"/>
      <c r="I21" s="573"/>
      <c r="J21" s="573"/>
      <c r="K21" s="601"/>
      <c r="L21" s="173"/>
      <c r="M21" s="173"/>
      <c r="N21" s="173"/>
      <c r="O21" s="173"/>
      <c r="P21" s="173"/>
    </row>
    <row r="22" spans="1:16" ht="15.75">
      <c r="A22" s="636"/>
      <c r="B22" s="571"/>
      <c r="C22" s="571"/>
      <c r="D22" s="571"/>
      <c r="E22" s="572"/>
      <c r="F22" s="572"/>
      <c r="G22" s="572"/>
      <c r="H22" s="571"/>
      <c r="I22" s="573"/>
      <c r="J22" s="573"/>
      <c r="K22" s="601"/>
      <c r="L22" s="173"/>
      <c r="M22" s="173"/>
      <c r="N22" s="173"/>
      <c r="O22" s="173"/>
      <c r="P22" s="173"/>
    </row>
    <row r="23" spans="1:16" ht="15.75">
      <c r="A23" s="636"/>
      <c r="B23" s="571"/>
      <c r="C23" s="571"/>
      <c r="D23" s="571"/>
      <c r="E23" s="572"/>
      <c r="F23" s="572"/>
      <c r="G23" s="572"/>
      <c r="H23" s="571"/>
      <c r="I23" s="573"/>
      <c r="J23" s="573"/>
      <c r="K23" s="601"/>
      <c r="L23" s="173"/>
      <c r="M23" s="173"/>
      <c r="N23" s="173"/>
      <c r="O23" s="173"/>
      <c r="P23" s="173"/>
    </row>
    <row r="24" spans="1:16" ht="15.75">
      <c r="A24" s="635"/>
      <c r="B24" s="571"/>
      <c r="C24" s="571"/>
      <c r="D24" s="571"/>
      <c r="E24" s="572"/>
      <c r="F24" s="572"/>
      <c r="G24" s="572"/>
      <c r="H24" s="571"/>
      <c r="I24" s="573"/>
      <c r="J24" s="573"/>
      <c r="K24" s="601"/>
      <c r="L24" s="173"/>
      <c r="M24" s="173"/>
      <c r="N24" s="173"/>
      <c r="O24" s="173"/>
      <c r="P24" s="173"/>
    </row>
    <row r="25" spans="1:16" ht="15.75">
      <c r="A25" s="636"/>
      <c r="B25" s="571"/>
      <c r="C25" s="571"/>
      <c r="D25" s="571"/>
      <c r="E25" s="572"/>
      <c r="F25" s="572"/>
      <c r="G25" s="572"/>
      <c r="H25" s="571"/>
      <c r="I25" s="573"/>
      <c r="J25" s="573"/>
      <c r="K25" s="601"/>
      <c r="L25" s="173"/>
      <c r="M25" s="173"/>
      <c r="N25" s="173"/>
      <c r="O25" s="173"/>
      <c r="P25" s="173"/>
    </row>
    <row r="26" spans="1:16" ht="15.75">
      <c r="A26" s="636"/>
      <c r="B26" s="571"/>
      <c r="C26" s="571"/>
      <c r="D26" s="571"/>
      <c r="E26" s="572"/>
      <c r="F26" s="572"/>
      <c r="G26" s="572"/>
      <c r="H26" s="571"/>
      <c r="I26" s="573"/>
      <c r="J26" s="573"/>
      <c r="K26" s="601"/>
      <c r="L26" s="173"/>
      <c r="M26" s="173"/>
      <c r="N26" s="173"/>
      <c r="O26" s="173"/>
      <c r="P26" s="173"/>
    </row>
    <row r="27" spans="1:16" ht="15.75">
      <c r="A27" s="636"/>
      <c r="B27" s="571"/>
      <c r="C27" s="571"/>
      <c r="D27" s="571"/>
      <c r="E27" s="572"/>
      <c r="F27" s="572"/>
      <c r="G27" s="572"/>
      <c r="H27" s="571"/>
      <c r="I27" s="573"/>
      <c r="J27" s="573"/>
      <c r="K27" s="601"/>
      <c r="L27" s="173"/>
      <c r="M27" s="173"/>
      <c r="N27" s="173"/>
      <c r="O27" s="173"/>
      <c r="P27" s="173"/>
    </row>
    <row r="28" spans="1:16" ht="15.75">
      <c r="A28" s="631" t="s">
        <v>372</v>
      </c>
      <c r="B28" s="632"/>
      <c r="C28" s="632"/>
      <c r="D28" s="632"/>
      <c r="E28" s="632"/>
      <c r="F28" s="632"/>
      <c r="G28" s="632"/>
      <c r="H28" s="632"/>
      <c r="I28" s="632"/>
      <c r="J28" s="632"/>
      <c r="K28" s="632"/>
      <c r="L28" s="173"/>
      <c r="M28" s="173"/>
      <c r="N28" s="173"/>
      <c r="O28" s="173"/>
      <c r="P28" s="173"/>
    </row>
    <row r="29" spans="1:16">
      <c r="A29" s="571"/>
      <c r="B29" s="571"/>
      <c r="C29" s="571"/>
      <c r="D29" s="571"/>
      <c r="E29" s="571"/>
      <c r="F29" s="571"/>
      <c r="G29" s="571"/>
      <c r="H29" s="571"/>
      <c r="I29" s="573"/>
      <c r="J29" s="573"/>
      <c r="K29" s="601"/>
      <c r="L29" s="173"/>
      <c r="M29" s="173"/>
      <c r="N29" s="173"/>
      <c r="O29" s="173"/>
      <c r="P29" s="173"/>
    </row>
    <row r="30" spans="1:16">
      <c r="A30" s="571"/>
      <c r="B30" s="571"/>
      <c r="C30" s="571"/>
      <c r="D30" s="571"/>
      <c r="E30" s="571"/>
      <c r="F30" s="571"/>
      <c r="G30" s="571"/>
      <c r="H30" s="571"/>
      <c r="I30" s="573"/>
      <c r="J30" s="573"/>
      <c r="K30" s="601"/>
      <c r="L30" s="173"/>
      <c r="M30" s="173"/>
      <c r="N30" s="173"/>
      <c r="O30" s="173"/>
      <c r="P30" s="173"/>
    </row>
    <row r="31" spans="1:16">
      <c r="A31" s="571"/>
      <c r="B31" s="571"/>
      <c r="C31" s="571"/>
      <c r="D31" s="571"/>
      <c r="E31" s="571"/>
      <c r="F31" s="571"/>
      <c r="G31" s="571"/>
      <c r="H31" s="571"/>
      <c r="I31" s="573"/>
      <c r="J31" s="573"/>
      <c r="K31" s="601"/>
      <c r="L31" s="173"/>
      <c r="M31" s="173"/>
      <c r="N31" s="173"/>
      <c r="O31" s="173"/>
      <c r="P31" s="173"/>
    </row>
    <row r="32" spans="1:16">
      <c r="A32" s="571"/>
      <c r="B32" s="571"/>
      <c r="C32" s="571"/>
      <c r="D32" s="571"/>
      <c r="E32" s="571"/>
      <c r="F32" s="571"/>
      <c r="G32" s="571"/>
      <c r="H32" s="571"/>
      <c r="I32" s="573"/>
      <c r="J32" s="573"/>
      <c r="K32" s="601"/>
      <c r="L32" s="173"/>
      <c r="M32" s="173"/>
      <c r="N32" s="173"/>
      <c r="O32" s="173"/>
      <c r="P32" s="173"/>
    </row>
    <row r="33" spans="1:16">
      <c r="A33" s="571"/>
      <c r="B33" s="571"/>
      <c r="C33" s="571"/>
      <c r="D33" s="571"/>
      <c r="E33" s="571"/>
      <c r="F33" s="571"/>
      <c r="G33" s="571"/>
      <c r="H33" s="571"/>
      <c r="I33" s="573"/>
      <c r="J33" s="573"/>
      <c r="K33" s="601"/>
      <c r="L33" s="173"/>
      <c r="M33" s="173"/>
      <c r="N33" s="173"/>
      <c r="O33" s="173"/>
      <c r="P33" s="173"/>
    </row>
    <row r="34" spans="1:16">
      <c r="A34" s="571"/>
      <c r="B34" s="571"/>
      <c r="C34" s="571"/>
      <c r="D34" s="571"/>
      <c r="E34" s="571"/>
      <c r="F34" s="571"/>
      <c r="G34" s="571"/>
      <c r="H34" s="571"/>
      <c r="I34" s="573"/>
      <c r="J34" s="573"/>
      <c r="K34" s="601"/>
      <c r="L34" s="173"/>
      <c r="M34" s="173"/>
      <c r="N34" s="173"/>
      <c r="O34" s="173"/>
      <c r="P34" s="173"/>
    </row>
    <row r="35" spans="1:16" ht="15.75">
      <c r="A35" s="631" t="s">
        <v>373</v>
      </c>
      <c r="B35" s="632"/>
      <c r="C35" s="632"/>
      <c r="D35" s="632"/>
      <c r="E35" s="632"/>
      <c r="F35" s="632"/>
      <c r="G35" s="632"/>
      <c r="H35" s="632"/>
      <c r="I35" s="632"/>
      <c r="J35" s="632"/>
      <c r="K35" s="632"/>
      <c r="L35" s="173"/>
      <c r="M35" s="173"/>
      <c r="N35" s="173"/>
      <c r="O35" s="173"/>
      <c r="P35" s="173"/>
    </row>
    <row r="36" spans="1:16">
      <c r="A36" s="637"/>
      <c r="B36" s="573"/>
      <c r="C36" s="573"/>
      <c r="D36" s="573"/>
      <c r="E36" s="573"/>
      <c r="F36" s="573"/>
      <c r="G36" s="573"/>
      <c r="H36" s="573"/>
      <c r="I36" s="573"/>
      <c r="J36" s="573"/>
      <c r="K36" s="573"/>
      <c r="L36" s="173"/>
      <c r="M36" s="173"/>
      <c r="N36" s="173"/>
      <c r="O36" s="173"/>
      <c r="P36" s="173"/>
    </row>
    <row r="37" spans="1:16">
      <c r="A37" s="571"/>
      <c r="B37" s="571"/>
      <c r="C37" s="571"/>
      <c r="D37" s="571"/>
      <c r="E37" s="571"/>
      <c r="F37" s="571"/>
      <c r="G37" s="571"/>
      <c r="H37" s="571"/>
      <c r="I37" s="573"/>
      <c r="J37" s="573"/>
      <c r="K37" s="573"/>
      <c r="L37" s="173"/>
      <c r="M37" s="173"/>
      <c r="N37" s="173"/>
      <c r="O37" s="173"/>
      <c r="P37" s="173"/>
    </row>
    <row r="38" spans="1:16">
      <c r="A38" s="571"/>
      <c r="B38" s="571"/>
      <c r="C38" s="571"/>
      <c r="D38" s="571"/>
      <c r="E38" s="571"/>
      <c r="F38" s="571"/>
      <c r="G38" s="571"/>
      <c r="H38" s="571"/>
      <c r="I38" s="573"/>
      <c r="J38" s="573"/>
      <c r="K38" s="573"/>
      <c r="L38" s="173"/>
      <c r="M38" s="173"/>
      <c r="N38" s="173"/>
      <c r="O38" s="173"/>
      <c r="P38" s="173"/>
    </row>
    <row r="39" spans="1:16">
      <c r="A39" s="571"/>
      <c r="B39" s="571"/>
      <c r="C39" s="571"/>
      <c r="D39" s="571"/>
      <c r="E39" s="571"/>
      <c r="F39" s="571"/>
      <c r="G39" s="571"/>
      <c r="H39" s="571"/>
      <c r="I39" s="573"/>
      <c r="J39" s="573"/>
      <c r="K39" s="573"/>
      <c r="L39" s="173"/>
      <c r="M39" s="173"/>
      <c r="N39" s="173"/>
      <c r="O39" s="173"/>
      <c r="P39" s="173"/>
    </row>
    <row r="40" spans="1:16">
      <c r="A40" s="571"/>
      <c r="B40" s="571"/>
      <c r="C40" s="571"/>
      <c r="D40" s="571"/>
      <c r="E40" s="571"/>
      <c r="F40" s="571"/>
      <c r="G40" s="571"/>
      <c r="H40" s="571"/>
      <c r="I40" s="573"/>
      <c r="J40" s="573"/>
      <c r="K40" s="573"/>
      <c r="L40" s="173"/>
      <c r="M40" s="173"/>
      <c r="N40" s="173"/>
      <c r="O40" s="173"/>
      <c r="P40" s="173"/>
    </row>
    <row r="41" spans="1:16">
      <c r="A41" s="571"/>
      <c r="B41" s="571"/>
      <c r="C41" s="571"/>
      <c r="D41" s="571"/>
      <c r="E41" s="571"/>
      <c r="F41" s="571"/>
      <c r="G41" s="571"/>
      <c r="H41" s="571"/>
      <c r="I41" s="573"/>
      <c r="J41" s="573"/>
      <c r="K41" s="573"/>
      <c r="L41" s="173"/>
      <c r="M41" s="173"/>
      <c r="N41" s="173"/>
      <c r="O41" s="173"/>
      <c r="P41" s="173"/>
    </row>
    <row r="42" spans="1:16" ht="15.75">
      <c r="A42" s="631" t="s">
        <v>1592</v>
      </c>
      <c r="B42" s="632"/>
      <c r="C42" s="632"/>
      <c r="D42" s="632"/>
      <c r="E42" s="632"/>
      <c r="F42" s="632"/>
      <c r="G42" s="632"/>
      <c r="H42" s="632"/>
      <c r="I42" s="632"/>
      <c r="J42" s="632"/>
      <c r="K42" s="632"/>
      <c r="L42" s="173"/>
      <c r="M42" s="173"/>
      <c r="N42" s="173"/>
      <c r="O42" s="173"/>
      <c r="P42" s="173"/>
    </row>
    <row r="43" spans="1:16" ht="15.6" hidden="1" customHeight="1">
      <c r="A43" s="573"/>
      <c r="B43" s="573"/>
      <c r="C43" s="573"/>
      <c r="D43" s="573"/>
      <c r="E43" s="573"/>
      <c r="F43" s="573"/>
      <c r="G43" s="573"/>
      <c r="H43" s="573"/>
      <c r="I43" s="573"/>
      <c r="J43" s="573"/>
      <c r="K43" s="573"/>
      <c r="L43" s="173"/>
      <c r="M43" s="173"/>
      <c r="N43" s="173"/>
      <c r="O43" s="173"/>
      <c r="P43" s="173"/>
    </row>
    <row r="44" spans="1:16" ht="15.6" hidden="1" customHeight="1">
      <c r="A44" s="573"/>
      <c r="B44" s="573"/>
      <c r="C44" s="573"/>
      <c r="D44" s="573"/>
      <c r="E44" s="573"/>
      <c r="F44" s="573"/>
      <c r="G44" s="573"/>
      <c r="H44" s="573"/>
      <c r="I44" s="573"/>
      <c r="J44" s="573"/>
      <c r="K44" s="573"/>
      <c r="L44" s="173"/>
      <c r="M44" s="173"/>
      <c r="N44" s="173"/>
      <c r="O44" s="173"/>
      <c r="P44" s="173"/>
    </row>
    <row r="45" spans="1:16" ht="15.6" hidden="1" customHeight="1">
      <c r="A45" s="573"/>
      <c r="B45" s="573"/>
      <c r="C45" s="573"/>
      <c r="D45" s="573"/>
      <c r="E45" s="573"/>
      <c r="F45" s="573"/>
      <c r="G45" s="573"/>
      <c r="H45" s="573"/>
      <c r="I45" s="573"/>
      <c r="J45" s="573"/>
      <c r="K45" s="573"/>
      <c r="L45" s="173"/>
      <c r="M45" s="173"/>
      <c r="N45" s="173"/>
      <c r="O45" s="173"/>
      <c r="P45" s="173"/>
    </row>
    <row r="46" spans="1:16" ht="15.6" hidden="1" customHeight="1">
      <c r="A46" s="573"/>
      <c r="B46" s="573"/>
      <c r="C46" s="573"/>
      <c r="D46" s="573"/>
      <c r="E46" s="573"/>
      <c r="F46" s="573"/>
      <c r="G46" s="573"/>
      <c r="H46" s="573"/>
      <c r="I46" s="573"/>
      <c r="J46" s="573"/>
      <c r="K46" s="573"/>
      <c r="L46" s="173"/>
      <c r="M46" s="173"/>
      <c r="N46" s="173"/>
      <c r="O46" s="173"/>
      <c r="P46" s="173"/>
    </row>
    <row r="47" spans="1:16" ht="15.6" hidden="1" customHeight="1">
      <c r="A47" s="573"/>
      <c r="B47" s="573"/>
      <c r="C47" s="573"/>
      <c r="D47" s="573"/>
      <c r="E47" s="573"/>
      <c r="F47" s="573"/>
      <c r="G47" s="573"/>
      <c r="H47" s="573"/>
      <c r="I47" s="573"/>
      <c r="J47" s="573"/>
      <c r="K47" s="573"/>
      <c r="L47" s="173"/>
      <c r="M47" s="173"/>
      <c r="N47" s="173"/>
      <c r="O47" s="173"/>
      <c r="P47" s="173"/>
    </row>
    <row r="48" spans="1:16" ht="15.6" hidden="1" customHeight="1">
      <c r="A48" s="573"/>
      <c r="B48" s="573"/>
      <c r="C48" s="573"/>
      <c r="D48" s="573"/>
      <c r="E48" s="573"/>
      <c r="F48" s="573"/>
      <c r="G48" s="573"/>
      <c r="H48" s="573"/>
      <c r="I48" s="573"/>
      <c r="J48" s="573"/>
      <c r="K48" s="573"/>
      <c r="L48" s="173"/>
      <c r="M48" s="173"/>
      <c r="N48" s="173"/>
      <c r="O48" s="173"/>
      <c r="P48" s="173"/>
    </row>
    <row r="49" spans="1:16" ht="15.6" hidden="1" customHeight="1">
      <c r="A49" s="573"/>
      <c r="B49" s="573"/>
      <c r="C49" s="573"/>
      <c r="D49" s="573"/>
      <c r="E49" s="573"/>
      <c r="F49" s="573"/>
      <c r="G49" s="573"/>
      <c r="H49" s="573"/>
      <c r="I49" s="573"/>
      <c r="J49" s="573"/>
      <c r="K49" s="573"/>
      <c r="L49" s="173"/>
      <c r="M49" s="173"/>
      <c r="N49" s="173"/>
      <c r="O49" s="173"/>
      <c r="P49" s="173"/>
    </row>
    <row r="50" spans="1:16" ht="15.6" hidden="1" customHeight="1">
      <c r="A50" s="573"/>
      <c r="B50" s="573"/>
      <c r="C50" s="573"/>
      <c r="D50" s="573"/>
      <c r="E50" s="573"/>
      <c r="F50" s="573"/>
      <c r="G50" s="573"/>
      <c r="H50" s="573"/>
      <c r="I50" s="573"/>
      <c r="J50" s="573"/>
      <c r="K50" s="573"/>
      <c r="L50" s="173"/>
      <c r="M50" s="173"/>
      <c r="N50" s="173"/>
      <c r="O50" s="173"/>
      <c r="P50" s="173"/>
    </row>
    <row r="51" spans="1:16" ht="15.6" hidden="1" customHeight="1">
      <c r="A51" s="573"/>
      <c r="B51" s="573"/>
      <c r="C51" s="573"/>
      <c r="D51" s="573"/>
      <c r="E51" s="573"/>
      <c r="F51" s="573"/>
      <c r="G51" s="573"/>
      <c r="H51" s="573"/>
      <c r="I51" s="573"/>
      <c r="J51" s="573"/>
      <c r="K51" s="573"/>
      <c r="L51" s="173"/>
      <c r="M51" s="173"/>
      <c r="N51" s="173"/>
      <c r="O51" s="173"/>
      <c r="P51" s="173"/>
    </row>
    <row r="52" spans="1:16" ht="15.6" hidden="1" customHeight="1">
      <c r="A52" s="573"/>
      <c r="B52" s="573"/>
      <c r="C52" s="573"/>
      <c r="D52" s="573"/>
      <c r="E52" s="573"/>
      <c r="F52" s="573"/>
      <c r="G52" s="573"/>
      <c r="H52" s="573"/>
      <c r="I52" s="573"/>
      <c r="J52" s="573"/>
      <c r="K52" s="573"/>
      <c r="L52" s="173"/>
      <c r="M52" s="173"/>
      <c r="N52" s="173"/>
      <c r="O52" s="173"/>
      <c r="P52" s="173"/>
    </row>
    <row r="53" spans="1:16" ht="15.6" hidden="1" customHeight="1">
      <c r="A53" s="573"/>
      <c r="B53" s="573"/>
      <c r="C53" s="573"/>
      <c r="D53" s="573"/>
      <c r="E53" s="573"/>
      <c r="F53" s="573"/>
      <c r="G53" s="573"/>
      <c r="H53" s="573"/>
      <c r="I53" s="573"/>
      <c r="J53" s="573"/>
      <c r="K53" s="573"/>
      <c r="L53" s="173"/>
      <c r="M53" s="173"/>
      <c r="N53" s="173"/>
      <c r="O53" s="173"/>
      <c r="P53" s="173"/>
    </row>
    <row r="54" spans="1:16" ht="15.6" hidden="1" customHeight="1">
      <c r="A54" s="573"/>
      <c r="B54" s="573"/>
      <c r="C54" s="573"/>
      <c r="D54" s="573"/>
      <c r="E54" s="573"/>
      <c r="F54" s="573"/>
      <c r="G54" s="573"/>
      <c r="H54" s="573"/>
      <c r="I54" s="573"/>
      <c r="J54" s="573"/>
      <c r="K54" s="573"/>
      <c r="L54" s="173"/>
      <c r="M54" s="173"/>
      <c r="N54" s="173"/>
      <c r="O54" s="173"/>
      <c r="P54" s="173"/>
    </row>
    <row r="55" spans="1:16" ht="15.6" hidden="1" customHeight="1">
      <c r="A55" s="573"/>
      <c r="B55" s="573"/>
      <c r="C55" s="573"/>
      <c r="D55" s="573"/>
      <c r="E55" s="573"/>
      <c r="F55" s="573"/>
      <c r="G55" s="573"/>
      <c r="H55" s="573"/>
      <c r="I55" s="573"/>
      <c r="J55" s="573"/>
      <c r="K55" s="573"/>
      <c r="L55" s="173"/>
      <c r="M55" s="173"/>
      <c r="N55" s="173"/>
      <c r="O55" s="173"/>
      <c r="P55" s="173"/>
    </row>
    <row r="56" spans="1:16" ht="15.6" hidden="1" customHeight="1">
      <c r="A56" s="573"/>
      <c r="B56" s="573"/>
      <c r="C56" s="573"/>
      <c r="D56" s="573"/>
      <c r="E56" s="573"/>
      <c r="F56" s="573"/>
      <c r="G56" s="573"/>
      <c r="H56" s="573"/>
      <c r="I56" s="573"/>
      <c r="J56" s="573"/>
      <c r="K56" s="573"/>
      <c r="L56" s="173"/>
      <c r="M56" s="173"/>
      <c r="N56" s="173"/>
      <c r="O56" s="173"/>
      <c r="P56" s="173"/>
    </row>
    <row r="57" spans="1:16" ht="15.6" hidden="1" customHeight="1">
      <c r="A57" s="573"/>
      <c r="B57" s="573"/>
      <c r="C57" s="573"/>
      <c r="D57" s="573"/>
      <c r="E57" s="573"/>
      <c r="F57" s="573"/>
      <c r="G57" s="573"/>
      <c r="H57" s="573"/>
      <c r="I57" s="573"/>
      <c r="J57" s="573"/>
      <c r="K57" s="573"/>
      <c r="L57" s="173"/>
      <c r="M57" s="173"/>
      <c r="N57" s="173"/>
      <c r="O57" s="173"/>
      <c r="P57" s="173"/>
    </row>
    <row r="58" spans="1:16" ht="15.6" hidden="1" customHeight="1">
      <c r="A58" s="573"/>
      <c r="B58" s="573"/>
      <c r="C58" s="573"/>
      <c r="D58" s="573"/>
      <c r="E58" s="573"/>
      <c r="F58" s="573"/>
      <c r="G58" s="573"/>
      <c r="H58" s="573"/>
      <c r="I58" s="573"/>
      <c r="J58" s="573"/>
      <c r="K58" s="573"/>
      <c r="L58" s="173"/>
      <c r="M58" s="173"/>
      <c r="N58" s="173"/>
      <c r="O58" s="173"/>
      <c r="P58" s="173"/>
    </row>
    <row r="59" spans="1:16" ht="15.6" hidden="1" customHeight="1">
      <c r="A59" s="573"/>
      <c r="B59" s="573"/>
      <c r="C59" s="573"/>
      <c r="D59" s="573"/>
      <c r="E59" s="573"/>
      <c r="F59" s="573"/>
      <c r="G59" s="573"/>
      <c r="H59" s="573"/>
      <c r="I59" s="573"/>
      <c r="J59" s="573"/>
      <c r="K59" s="573"/>
      <c r="L59" s="173"/>
      <c r="M59" s="173"/>
      <c r="N59" s="173"/>
      <c r="O59" s="173"/>
      <c r="P59" s="173"/>
    </row>
    <row r="60" spans="1:16" ht="15.6" hidden="1" customHeight="1">
      <c r="A60" s="573"/>
      <c r="B60" s="573"/>
      <c r="C60" s="573"/>
      <c r="D60" s="573"/>
      <c r="E60" s="573"/>
      <c r="F60" s="573"/>
      <c r="G60" s="573"/>
      <c r="H60" s="573"/>
      <c r="I60" s="573"/>
      <c r="J60" s="573"/>
      <c r="K60" s="573"/>
      <c r="L60" s="173"/>
      <c r="M60" s="173"/>
      <c r="N60" s="173"/>
      <c r="O60" s="173"/>
      <c r="P60" s="173"/>
    </row>
    <row r="61" spans="1:16" ht="15.6" hidden="1" customHeight="1">
      <c r="A61" s="573"/>
      <c r="B61" s="573"/>
      <c r="C61" s="573"/>
      <c r="D61" s="573"/>
      <c r="E61" s="573"/>
      <c r="F61" s="573"/>
      <c r="G61" s="573"/>
      <c r="H61" s="573"/>
      <c r="I61" s="573"/>
      <c r="J61" s="573"/>
      <c r="K61" s="573"/>
      <c r="L61" s="173"/>
      <c r="M61" s="173"/>
      <c r="N61" s="173"/>
      <c r="O61" s="173"/>
      <c r="P61" s="173"/>
    </row>
    <row r="62" spans="1:16" ht="15.6" hidden="1" customHeight="1">
      <c r="A62" s="573"/>
      <c r="B62" s="573"/>
      <c r="C62" s="573"/>
      <c r="D62" s="573"/>
      <c r="E62" s="573"/>
      <c r="F62" s="573"/>
      <c r="G62" s="573"/>
      <c r="H62" s="573"/>
      <c r="I62" s="573"/>
      <c r="J62" s="573"/>
      <c r="K62" s="573"/>
      <c r="L62" s="173"/>
      <c r="M62" s="173"/>
      <c r="N62" s="173"/>
      <c r="O62" s="173"/>
      <c r="P62" s="173"/>
    </row>
    <row r="63" spans="1:16" ht="15.6" hidden="1" customHeight="1">
      <c r="A63" s="573"/>
      <c r="B63" s="573"/>
      <c r="C63" s="573"/>
      <c r="D63" s="573"/>
      <c r="E63" s="573"/>
      <c r="F63" s="573"/>
      <c r="G63" s="573"/>
      <c r="H63" s="573"/>
      <c r="I63" s="573"/>
      <c r="J63" s="573"/>
      <c r="K63" s="573"/>
      <c r="L63" s="173"/>
      <c r="M63" s="173"/>
      <c r="N63" s="173"/>
      <c r="O63" s="173"/>
      <c r="P63" s="173"/>
    </row>
    <row r="64" spans="1:16" ht="15.6" hidden="1" customHeight="1">
      <c r="A64" s="573"/>
      <c r="B64" s="573"/>
      <c r="C64" s="573"/>
      <c r="D64" s="573"/>
      <c r="E64" s="573"/>
      <c r="F64" s="573"/>
      <c r="G64" s="573"/>
      <c r="H64" s="573"/>
      <c r="I64" s="573"/>
      <c r="J64" s="573"/>
      <c r="K64" s="573"/>
      <c r="L64" s="173"/>
      <c r="M64" s="173"/>
      <c r="N64" s="173"/>
      <c r="O64" s="173"/>
      <c r="P64" s="173"/>
    </row>
    <row r="65" spans="1:16" ht="15.6" hidden="1" customHeight="1">
      <c r="A65" s="573"/>
      <c r="B65" s="573"/>
      <c r="C65" s="573"/>
      <c r="D65" s="573"/>
      <c r="E65" s="573"/>
      <c r="F65" s="573"/>
      <c r="G65" s="573"/>
      <c r="H65" s="573"/>
      <c r="I65" s="573"/>
      <c r="J65" s="573"/>
      <c r="K65" s="573"/>
      <c r="L65" s="173"/>
      <c r="M65" s="173"/>
      <c r="N65" s="173"/>
      <c r="O65" s="173"/>
      <c r="P65" s="173"/>
    </row>
    <row r="66" spans="1:16" ht="15.6" hidden="1" customHeight="1">
      <c r="A66" s="573"/>
      <c r="B66" s="573"/>
      <c r="C66" s="573"/>
      <c r="D66" s="573"/>
      <c r="E66" s="573"/>
      <c r="F66" s="573"/>
      <c r="G66" s="573"/>
      <c r="H66" s="573"/>
      <c r="I66" s="573"/>
      <c r="J66" s="573"/>
      <c r="K66" s="573"/>
      <c r="L66" s="173"/>
      <c r="M66" s="173"/>
      <c r="N66" s="173"/>
      <c r="O66" s="173"/>
      <c r="P66" s="173"/>
    </row>
    <row r="67" spans="1:16" ht="15.6" hidden="1" customHeight="1">
      <c r="A67" s="573"/>
      <c r="B67" s="573"/>
      <c r="C67" s="573"/>
      <c r="D67" s="573"/>
      <c r="E67" s="573"/>
      <c r="F67" s="573"/>
      <c r="G67" s="573"/>
      <c r="H67" s="573"/>
      <c r="I67" s="573"/>
      <c r="J67" s="573"/>
      <c r="K67" s="573"/>
      <c r="L67" s="173"/>
      <c r="M67" s="173"/>
      <c r="N67" s="173"/>
      <c r="O67" s="173"/>
      <c r="P67" s="173"/>
    </row>
    <row r="68" spans="1:16">
      <c r="A68" s="573"/>
      <c r="B68" s="573"/>
      <c r="C68" s="573"/>
      <c r="D68" s="573"/>
      <c r="E68" s="573"/>
      <c r="F68" s="573"/>
      <c r="G68" s="573"/>
      <c r="H68" s="573"/>
      <c r="I68" s="573"/>
      <c r="J68" s="573"/>
      <c r="K68" s="573"/>
      <c r="L68" s="173"/>
      <c r="M68" s="173"/>
      <c r="N68" s="173"/>
      <c r="O68" s="173"/>
      <c r="P68" s="173"/>
    </row>
    <row r="69" spans="1:16">
      <c r="A69" s="573"/>
      <c r="B69" s="573"/>
      <c r="C69" s="573"/>
      <c r="D69" s="573"/>
      <c r="E69" s="573"/>
      <c r="F69" s="573"/>
      <c r="G69" s="573"/>
      <c r="H69" s="573"/>
      <c r="I69" s="573"/>
      <c r="J69" s="573"/>
      <c r="K69" s="573"/>
      <c r="L69" s="173"/>
      <c r="M69" s="173"/>
      <c r="N69" s="173"/>
      <c r="O69" s="173"/>
      <c r="P69" s="173"/>
    </row>
    <row r="70" spans="1:16">
      <c r="A70" s="573"/>
      <c r="B70" s="573"/>
      <c r="C70" s="573"/>
      <c r="D70" s="573"/>
      <c r="E70" s="573"/>
      <c r="F70" s="573"/>
      <c r="G70" s="573"/>
      <c r="H70" s="573"/>
      <c r="I70" s="573"/>
      <c r="J70" s="573"/>
      <c r="K70" s="573"/>
      <c r="L70" s="173"/>
      <c r="M70" s="173"/>
      <c r="N70" s="173"/>
      <c r="O70" s="173"/>
      <c r="P70" s="173"/>
    </row>
    <row r="71" spans="1:16">
      <c r="A71" s="573"/>
      <c r="B71" s="573"/>
      <c r="C71" s="573"/>
      <c r="D71" s="573"/>
      <c r="E71" s="573"/>
      <c r="F71" s="573"/>
      <c r="G71" s="573"/>
      <c r="H71" s="573"/>
      <c r="I71" s="573"/>
      <c r="J71" s="573"/>
      <c r="K71" s="573"/>
      <c r="L71" s="173"/>
      <c r="M71" s="173"/>
      <c r="N71" s="173"/>
      <c r="O71" s="173"/>
      <c r="P71" s="173"/>
    </row>
    <row r="72" spans="1:16">
      <c r="A72" s="573"/>
      <c r="B72" s="573"/>
      <c r="C72" s="573"/>
      <c r="D72" s="573"/>
      <c r="E72" s="573"/>
      <c r="F72" s="573"/>
      <c r="G72" s="573"/>
      <c r="H72" s="573"/>
      <c r="I72" s="573"/>
      <c r="J72" s="573"/>
      <c r="K72" s="573"/>
      <c r="L72" s="173"/>
      <c r="M72" s="173"/>
      <c r="N72" s="173"/>
      <c r="O72" s="173"/>
      <c r="P72" s="173"/>
    </row>
    <row r="73" spans="1:16">
      <c r="A73" s="573"/>
      <c r="B73" s="573"/>
      <c r="C73" s="573"/>
      <c r="D73" s="573"/>
      <c r="E73" s="573"/>
      <c r="F73" s="573"/>
      <c r="G73" s="573"/>
      <c r="H73" s="573"/>
      <c r="I73" s="573"/>
      <c r="J73" s="573"/>
      <c r="K73" s="573"/>
      <c r="L73" s="173"/>
      <c r="M73" s="173"/>
      <c r="N73" s="173"/>
      <c r="O73" s="173"/>
      <c r="P73" s="173"/>
    </row>
    <row r="74" spans="1:16">
      <c r="A74" s="573"/>
      <c r="B74" s="573"/>
      <c r="C74" s="573"/>
      <c r="D74" s="573"/>
      <c r="E74" s="573"/>
      <c r="F74" s="573"/>
      <c r="G74" s="573"/>
      <c r="H74" s="573"/>
      <c r="I74" s="573"/>
      <c r="J74" s="573"/>
      <c r="K74" s="573"/>
      <c r="L74" s="173"/>
      <c r="M74" s="173"/>
      <c r="N74" s="173"/>
      <c r="O74" s="173"/>
      <c r="P74" s="173"/>
    </row>
    <row r="75" spans="1:16">
      <c r="A75" s="573"/>
      <c r="B75" s="573"/>
      <c r="C75" s="573"/>
      <c r="D75" s="573"/>
      <c r="E75" s="573"/>
      <c r="F75" s="573"/>
      <c r="G75" s="573"/>
      <c r="H75" s="573"/>
      <c r="I75" s="573"/>
      <c r="J75" s="573"/>
      <c r="K75" s="573"/>
      <c r="L75" s="173"/>
      <c r="M75" s="173"/>
      <c r="N75" s="173"/>
      <c r="O75" s="173"/>
      <c r="P75" s="173"/>
    </row>
    <row r="76" spans="1:16" ht="15.75">
      <c r="A76" s="631" t="s">
        <v>374</v>
      </c>
      <c r="B76" s="632"/>
      <c r="C76" s="632"/>
      <c r="D76" s="632"/>
      <c r="E76" s="632"/>
      <c r="F76" s="632"/>
      <c r="G76" s="632"/>
      <c r="H76" s="632"/>
      <c r="I76" s="632"/>
      <c r="J76" s="632"/>
      <c r="K76" s="632"/>
      <c r="L76" s="173"/>
      <c r="M76" s="173"/>
      <c r="N76" s="173"/>
      <c r="O76" s="173"/>
      <c r="P76" s="173"/>
    </row>
    <row r="77" spans="1:16">
      <c r="A77" s="573"/>
      <c r="B77" s="573"/>
      <c r="C77" s="573"/>
      <c r="D77" s="573"/>
      <c r="E77" s="573"/>
      <c r="F77" s="573"/>
      <c r="G77" s="573"/>
      <c r="H77" s="573"/>
      <c r="I77" s="573"/>
      <c r="J77" s="573"/>
      <c r="K77" s="573"/>
      <c r="L77" s="173"/>
      <c r="M77" s="173"/>
      <c r="N77" s="173"/>
      <c r="O77" s="173"/>
      <c r="P77" s="173"/>
    </row>
    <row r="78" spans="1:16">
      <c r="A78" s="573"/>
      <c r="B78" s="573"/>
      <c r="C78" s="573"/>
      <c r="D78" s="573"/>
      <c r="E78" s="573"/>
      <c r="F78" s="573"/>
      <c r="G78" s="573"/>
      <c r="H78" s="573"/>
      <c r="I78" s="573"/>
      <c r="J78" s="573"/>
      <c r="K78" s="573"/>
      <c r="L78" s="173"/>
      <c r="M78" s="173"/>
      <c r="N78" s="173"/>
      <c r="O78" s="173"/>
      <c r="P78" s="173"/>
    </row>
    <row r="79" spans="1:16" s="640" customFormat="1" ht="15.75">
      <c r="A79" s="638" t="s">
        <v>1593</v>
      </c>
      <c r="B79" s="639"/>
      <c r="C79" s="639"/>
      <c r="D79" s="639"/>
      <c r="E79" s="639"/>
      <c r="F79" s="639"/>
      <c r="G79" s="639"/>
      <c r="H79" s="639"/>
      <c r="I79" s="639"/>
      <c r="J79" s="639"/>
      <c r="K79" s="639"/>
      <c r="L79" s="1166"/>
      <c r="M79" s="1166"/>
      <c r="N79" s="1166"/>
      <c r="O79" s="1166"/>
      <c r="P79" s="1166"/>
    </row>
    <row r="80" spans="1:16" s="640" customFormat="1">
      <c r="A80" s="573"/>
      <c r="B80" s="641"/>
      <c r="C80" s="641"/>
      <c r="D80" s="641"/>
      <c r="E80" s="641"/>
      <c r="F80" s="641"/>
      <c r="G80" s="641"/>
      <c r="H80" s="641"/>
      <c r="I80" s="641"/>
      <c r="J80" s="641"/>
      <c r="K80" s="641"/>
      <c r="L80" s="1166"/>
      <c r="M80" s="1166"/>
      <c r="N80" s="1166"/>
      <c r="O80" s="1166"/>
      <c r="P80" s="1166"/>
    </row>
    <row r="81" spans="1:16" s="640" customFormat="1">
      <c r="A81" s="573"/>
      <c r="B81" s="641"/>
      <c r="C81" s="641"/>
      <c r="D81" s="641"/>
      <c r="E81" s="641"/>
      <c r="F81" s="641"/>
      <c r="G81" s="641"/>
      <c r="H81" s="641"/>
      <c r="I81" s="641"/>
      <c r="J81" s="641"/>
      <c r="K81" s="641"/>
      <c r="L81" s="1166"/>
      <c r="M81" s="1166"/>
      <c r="N81" s="1166"/>
      <c r="O81" s="1166"/>
      <c r="P81" s="1166"/>
    </row>
    <row r="82" spans="1:16" s="640" customFormat="1">
      <c r="A82" s="573"/>
      <c r="B82" s="641"/>
      <c r="C82" s="641"/>
      <c r="D82" s="641"/>
      <c r="E82" s="641"/>
      <c r="F82" s="641"/>
      <c r="G82" s="641"/>
      <c r="H82" s="641"/>
      <c r="I82" s="641"/>
      <c r="J82" s="641"/>
      <c r="K82" s="641"/>
      <c r="L82" s="1166"/>
      <c r="M82" s="1166"/>
      <c r="N82" s="1166"/>
      <c r="O82" s="1166"/>
      <c r="P82" s="1166"/>
    </row>
    <row r="83" spans="1:16" s="640" customFormat="1">
      <c r="A83" s="573"/>
      <c r="B83" s="641"/>
      <c r="C83" s="641"/>
      <c r="D83" s="641"/>
      <c r="E83" s="641"/>
      <c r="F83" s="641"/>
      <c r="G83" s="641"/>
      <c r="H83" s="641"/>
      <c r="I83" s="641"/>
      <c r="J83" s="641"/>
      <c r="K83" s="641"/>
      <c r="L83" s="1166"/>
      <c r="M83" s="1166"/>
      <c r="N83" s="1166"/>
      <c r="O83" s="1166"/>
      <c r="P83" s="1166"/>
    </row>
    <row r="84" spans="1:16" s="640" customFormat="1">
      <c r="A84" s="573"/>
      <c r="B84" s="641"/>
      <c r="C84" s="641"/>
      <c r="D84" s="641"/>
      <c r="E84" s="641"/>
      <c r="F84" s="641"/>
      <c r="G84" s="641"/>
      <c r="H84" s="641"/>
      <c r="I84" s="641"/>
      <c r="J84" s="641"/>
      <c r="K84" s="641"/>
      <c r="L84" s="1166"/>
      <c r="M84" s="1166"/>
      <c r="N84" s="1166"/>
      <c r="O84" s="1166"/>
      <c r="P84" s="1166"/>
    </row>
    <row r="85" spans="1:16" s="640" customFormat="1">
      <c r="A85" s="573"/>
      <c r="B85" s="641"/>
      <c r="C85" s="641"/>
      <c r="D85" s="641"/>
      <c r="E85" s="641"/>
      <c r="F85" s="641"/>
      <c r="G85" s="641"/>
      <c r="H85" s="641"/>
      <c r="I85" s="641"/>
      <c r="J85" s="641"/>
      <c r="K85" s="641"/>
      <c r="L85" s="1166"/>
      <c r="M85" s="1166"/>
      <c r="N85" s="1166"/>
      <c r="O85" s="1166"/>
      <c r="P85" s="1166"/>
    </row>
    <row r="86" spans="1:16" s="640" customFormat="1">
      <c r="A86" s="573"/>
      <c r="B86" s="641"/>
      <c r="C86" s="641"/>
      <c r="D86" s="641"/>
      <c r="E86" s="641"/>
      <c r="F86" s="641"/>
      <c r="G86" s="641"/>
      <c r="H86" s="641"/>
      <c r="I86" s="641"/>
      <c r="J86" s="641"/>
      <c r="K86" s="641"/>
      <c r="L86" s="1166"/>
      <c r="M86" s="1166"/>
      <c r="N86" s="1166"/>
      <c r="O86" s="1166"/>
      <c r="P86" s="1166"/>
    </row>
    <row r="87" spans="1:16" s="640" customFormat="1">
      <c r="A87" s="573"/>
      <c r="B87" s="641"/>
      <c r="C87" s="641"/>
      <c r="D87" s="641"/>
      <c r="E87" s="641"/>
      <c r="F87" s="641"/>
      <c r="G87" s="641"/>
      <c r="H87" s="641"/>
      <c r="I87" s="641"/>
      <c r="J87" s="641"/>
      <c r="K87" s="641"/>
      <c r="L87" s="1166"/>
      <c r="M87" s="1166"/>
      <c r="N87" s="1166"/>
      <c r="O87" s="1166"/>
      <c r="P87" s="1166"/>
    </row>
    <row r="88" spans="1:16" s="640" customFormat="1">
      <c r="A88" s="573"/>
      <c r="B88" s="573"/>
      <c r="C88" s="573"/>
      <c r="D88" s="573"/>
      <c r="E88" s="573"/>
      <c r="F88" s="573"/>
      <c r="G88" s="573"/>
      <c r="H88" s="573"/>
      <c r="I88" s="573"/>
      <c r="J88" s="573"/>
      <c r="K88" s="573"/>
      <c r="L88" s="1166"/>
      <c r="M88" s="1166"/>
      <c r="N88" s="1166"/>
      <c r="O88" s="1166"/>
      <c r="P88" s="1166"/>
    </row>
    <row r="89" spans="1:16" s="640" customFormat="1">
      <c r="A89" s="573"/>
      <c r="B89" s="573"/>
      <c r="C89" s="573"/>
      <c r="D89" s="573"/>
      <c r="E89" s="573"/>
      <c r="F89" s="573"/>
      <c r="G89" s="573"/>
      <c r="H89" s="573"/>
      <c r="I89" s="573"/>
      <c r="J89" s="573"/>
      <c r="K89" s="573"/>
      <c r="L89" s="1166"/>
      <c r="M89" s="1166"/>
      <c r="N89" s="1166"/>
      <c r="O89" s="1166"/>
      <c r="P89" s="1166"/>
    </row>
    <row r="90" spans="1:16" s="640" customFormat="1">
      <c r="A90" s="642"/>
      <c r="B90" s="643"/>
      <c r="C90" s="643"/>
      <c r="D90" s="643"/>
      <c r="E90" s="643"/>
      <c r="F90" s="643"/>
      <c r="G90" s="643"/>
      <c r="H90" s="643"/>
      <c r="I90" s="643"/>
      <c r="J90" s="643"/>
      <c r="K90" s="643"/>
      <c r="L90" s="1166"/>
      <c r="M90" s="1166"/>
      <c r="N90" s="1166"/>
      <c r="O90" s="1166"/>
      <c r="P90" s="1166"/>
    </row>
    <row r="91" spans="1:16" s="640" customFormat="1">
      <c r="A91" s="642"/>
      <c r="B91" s="643"/>
      <c r="C91" s="643"/>
      <c r="D91" s="643"/>
      <c r="E91" s="643"/>
      <c r="F91" s="643"/>
      <c r="G91" s="643"/>
      <c r="H91" s="643"/>
      <c r="I91" s="643"/>
      <c r="J91" s="643"/>
      <c r="K91" s="643"/>
      <c r="L91" s="1166"/>
      <c r="M91" s="1166"/>
      <c r="N91" s="1166"/>
      <c r="O91" s="1166"/>
      <c r="P91" s="1166"/>
    </row>
    <row r="92" spans="1:16" s="640" customFormat="1" ht="28.5" customHeight="1">
      <c r="A92" s="1428" t="s">
        <v>375</v>
      </c>
      <c r="B92" s="1431" t="s">
        <v>1594</v>
      </c>
      <c r="C92" s="1431"/>
      <c r="D92" s="1431"/>
      <c r="E92" s="1431"/>
      <c r="F92" s="1431"/>
      <c r="L92" s="1428" t="s">
        <v>375</v>
      </c>
      <c r="M92" s="1432" t="str">
        <f>B92</f>
        <v>период регулирования, год</v>
      </c>
      <c r="N92" s="1432"/>
      <c r="O92" s="1432"/>
      <c r="P92" s="1433"/>
    </row>
    <row r="93" spans="1:16" s="640" customFormat="1" ht="21.75" customHeight="1">
      <c r="A93" s="1429"/>
      <c r="B93" s="1080">
        <v>2015</v>
      </c>
      <c r="C93" s="1434">
        <v>2016</v>
      </c>
      <c r="D93" s="1433"/>
      <c r="E93" s="1080">
        <v>2017</v>
      </c>
      <c r="F93" s="1080">
        <v>2018</v>
      </c>
      <c r="L93" s="1429"/>
      <c r="M93" s="1434">
        <f>C93</f>
        <v>2016</v>
      </c>
      <c r="N93" s="1433"/>
      <c r="O93" s="1080">
        <f>E93</f>
        <v>2017</v>
      </c>
      <c r="P93" s="1080">
        <f>F93</f>
        <v>2018</v>
      </c>
    </row>
    <row r="94" spans="1:16" s="640" customFormat="1" ht="58.5" customHeight="1">
      <c r="A94" s="1430"/>
      <c r="B94" s="1080" t="s">
        <v>1595</v>
      </c>
      <c r="C94" s="1080" t="s">
        <v>1615</v>
      </c>
      <c r="D94" s="1080" t="s">
        <v>1613</v>
      </c>
      <c r="E94" s="1080" t="s">
        <v>1614</v>
      </c>
      <c r="F94" s="1080" t="s">
        <v>382</v>
      </c>
      <c r="L94" s="1430"/>
      <c r="M94" s="1080" t="s">
        <v>1611</v>
      </c>
      <c r="N94" s="1080" t="s">
        <v>1612</v>
      </c>
      <c r="O94" s="1080" t="s">
        <v>1611</v>
      </c>
      <c r="P94" s="1080" t="s">
        <v>1596</v>
      </c>
    </row>
    <row r="95" spans="1:16" ht="36" customHeight="1">
      <c r="A95" s="644" t="s">
        <v>377</v>
      </c>
      <c r="B95" s="645">
        <f>SUM(B96:B110)</f>
        <v>0</v>
      </c>
      <c r="C95" s="645">
        <f>SUM(C96:C110)</f>
        <v>0</v>
      </c>
      <c r="D95" s="645">
        <f>SUM(D96:D110)</f>
        <v>0</v>
      </c>
      <c r="E95" s="645">
        <f>SUM(E96:E110)</f>
        <v>0</v>
      </c>
      <c r="F95" s="645">
        <f>SUM(F96:F110)</f>
        <v>0</v>
      </c>
      <c r="L95" s="644" t="s">
        <v>377</v>
      </c>
      <c r="M95" s="645">
        <f>SUM(M96:M110)</f>
        <v>0</v>
      </c>
      <c r="N95" s="645">
        <f>SUM(N96:N110)</f>
        <v>0</v>
      </c>
      <c r="O95" s="645">
        <f>SUM(O96:O110)</f>
        <v>0</v>
      </c>
      <c r="P95" s="645">
        <f>SUM(P96:P110)</f>
        <v>0</v>
      </c>
    </row>
    <row r="96" spans="1:16" ht="15" customHeight="1">
      <c r="A96" s="646" t="s">
        <v>378</v>
      </c>
      <c r="B96" s="645"/>
      <c r="C96" s="645"/>
      <c r="D96" s="645"/>
      <c r="E96" s="645"/>
      <c r="F96" s="645"/>
      <c r="L96" s="646" t="s">
        <v>378</v>
      </c>
      <c r="M96" s="645"/>
      <c r="N96" s="645"/>
      <c r="O96" s="645"/>
      <c r="P96" s="645"/>
    </row>
    <row r="97" spans="1:16" ht="15" customHeight="1">
      <c r="A97" s="647" t="s">
        <v>1597</v>
      </c>
      <c r="B97" s="648"/>
      <c r="C97" s="648"/>
      <c r="D97" s="648"/>
      <c r="E97" s="648"/>
      <c r="F97" s="648"/>
      <c r="L97" s="647" t="s">
        <v>1597</v>
      </c>
      <c r="M97" s="649"/>
      <c r="N97" s="649"/>
      <c r="O97" s="649"/>
      <c r="P97" s="649"/>
    </row>
    <row r="98" spans="1:16" ht="15" customHeight="1">
      <c r="A98" s="647" t="s">
        <v>1598</v>
      </c>
      <c r="B98" s="648"/>
      <c r="C98" s="648"/>
      <c r="D98" s="648"/>
      <c r="E98" s="648"/>
      <c r="F98" s="648"/>
      <c r="L98" s="647" t="s">
        <v>1598</v>
      </c>
      <c r="M98" s="649"/>
      <c r="N98" s="649"/>
      <c r="O98" s="649"/>
      <c r="P98" s="649"/>
    </row>
    <row r="99" spans="1:16" ht="15" customHeight="1">
      <c r="A99" s="647" t="s">
        <v>1599</v>
      </c>
      <c r="B99" s="648"/>
      <c r="C99" s="648"/>
      <c r="D99" s="648"/>
      <c r="E99" s="648"/>
      <c r="F99" s="648"/>
      <c r="L99" s="647" t="s">
        <v>1599</v>
      </c>
      <c r="M99" s="649"/>
      <c r="N99" s="649"/>
      <c r="O99" s="649"/>
      <c r="P99" s="649"/>
    </row>
    <row r="100" spans="1:16" ht="15" customHeight="1">
      <c r="A100" s="647" t="s">
        <v>1600</v>
      </c>
      <c r="B100" s="648"/>
      <c r="C100" s="648"/>
      <c r="D100" s="648"/>
      <c r="E100" s="648"/>
      <c r="F100" s="648"/>
      <c r="L100" s="647" t="s">
        <v>1600</v>
      </c>
      <c r="M100" s="649"/>
      <c r="N100" s="649"/>
      <c r="O100" s="649"/>
      <c r="P100" s="649"/>
    </row>
    <row r="101" spans="1:16" ht="15" customHeight="1">
      <c r="A101" s="647" t="s">
        <v>1601</v>
      </c>
      <c r="B101" s="648"/>
      <c r="C101" s="648"/>
      <c r="D101" s="648"/>
      <c r="E101" s="648"/>
      <c r="F101" s="648"/>
      <c r="L101" s="647" t="s">
        <v>1601</v>
      </c>
      <c r="M101" s="649"/>
      <c r="N101" s="649"/>
      <c r="O101" s="649"/>
      <c r="P101" s="649"/>
    </row>
    <row r="102" spans="1:16" ht="15" customHeight="1">
      <c r="A102" s="647" t="s">
        <v>1602</v>
      </c>
      <c r="B102" s="648"/>
      <c r="C102" s="648"/>
      <c r="D102" s="648"/>
      <c r="E102" s="648"/>
      <c r="F102" s="648"/>
      <c r="L102" s="647" t="s">
        <v>1602</v>
      </c>
      <c r="M102" s="649"/>
      <c r="N102" s="649"/>
      <c r="O102" s="649"/>
      <c r="P102" s="649"/>
    </row>
    <row r="103" spans="1:16" ht="15" customHeight="1">
      <c r="A103" s="647" t="s">
        <v>1603</v>
      </c>
      <c r="B103" s="648"/>
      <c r="C103" s="648"/>
      <c r="D103" s="648"/>
      <c r="E103" s="648"/>
      <c r="F103" s="648"/>
      <c r="L103" s="647" t="s">
        <v>1603</v>
      </c>
      <c r="M103" s="649"/>
      <c r="N103" s="649"/>
      <c r="O103" s="649"/>
      <c r="P103" s="649"/>
    </row>
    <row r="104" spans="1:16" ht="15" customHeight="1">
      <c r="A104" s="647" t="s">
        <v>1604</v>
      </c>
      <c r="B104" s="648"/>
      <c r="C104" s="648"/>
      <c r="D104" s="648"/>
      <c r="E104" s="648"/>
      <c r="F104" s="648"/>
      <c r="L104" s="647" t="s">
        <v>1604</v>
      </c>
      <c r="M104" s="649"/>
      <c r="N104" s="649"/>
      <c r="O104" s="649"/>
      <c r="P104" s="649"/>
    </row>
    <row r="105" spans="1:16" ht="15" customHeight="1">
      <c r="A105" s="647" t="s">
        <v>1605</v>
      </c>
      <c r="B105" s="648"/>
      <c r="C105" s="648"/>
      <c r="D105" s="648"/>
      <c r="E105" s="648"/>
      <c r="F105" s="648"/>
      <c r="L105" s="647" t="s">
        <v>1605</v>
      </c>
      <c r="M105" s="649"/>
      <c r="N105" s="649"/>
      <c r="O105" s="649"/>
      <c r="P105" s="649"/>
    </row>
    <row r="106" spans="1:16" ht="15" customHeight="1">
      <c r="A106" s="647" t="s">
        <v>1606</v>
      </c>
      <c r="B106" s="648"/>
      <c r="C106" s="648"/>
      <c r="D106" s="648"/>
      <c r="E106" s="648"/>
      <c r="F106" s="648"/>
      <c r="L106" s="647" t="s">
        <v>1606</v>
      </c>
      <c r="M106" s="649"/>
      <c r="N106" s="649"/>
      <c r="O106" s="649"/>
      <c r="P106" s="649"/>
    </row>
    <row r="107" spans="1:16" ht="15" customHeight="1">
      <c r="A107" s="647" t="s">
        <v>1607</v>
      </c>
      <c r="B107" s="648"/>
      <c r="C107" s="648"/>
      <c r="D107" s="648"/>
      <c r="E107" s="648"/>
      <c r="F107" s="648"/>
      <c r="L107" s="647" t="s">
        <v>1607</v>
      </c>
      <c r="M107" s="649"/>
      <c r="N107" s="649"/>
      <c r="O107" s="649"/>
      <c r="P107" s="649"/>
    </row>
    <row r="108" spans="1:16" ht="15" customHeight="1">
      <c r="A108" s="647" t="s">
        <v>1608</v>
      </c>
      <c r="B108" s="648"/>
      <c r="C108" s="648"/>
      <c r="D108" s="648"/>
      <c r="E108" s="648"/>
      <c r="F108" s="648"/>
      <c r="L108" s="647" t="s">
        <v>1608</v>
      </c>
      <c r="M108" s="649"/>
      <c r="N108" s="649"/>
      <c r="O108" s="649"/>
      <c r="P108" s="649"/>
    </row>
    <row r="109" spans="1:16" ht="15" customHeight="1">
      <c r="A109" s="647" t="s">
        <v>1609</v>
      </c>
      <c r="B109" s="648"/>
      <c r="C109" s="648"/>
      <c r="D109" s="648"/>
      <c r="E109" s="648"/>
      <c r="F109" s="648"/>
      <c r="L109" s="647" t="s">
        <v>1609</v>
      </c>
      <c r="M109" s="649"/>
      <c r="N109" s="649"/>
      <c r="O109" s="649"/>
      <c r="P109" s="649"/>
    </row>
    <row r="110" spans="1:16" ht="15" customHeight="1">
      <c r="A110" s="647" t="s">
        <v>1610</v>
      </c>
      <c r="B110" s="648"/>
      <c r="C110" s="648"/>
      <c r="D110" s="648"/>
      <c r="E110" s="648"/>
      <c r="F110" s="648"/>
      <c r="L110" s="647" t="s">
        <v>1610</v>
      </c>
      <c r="M110" s="649"/>
      <c r="N110" s="649"/>
      <c r="O110" s="649"/>
      <c r="P110" s="649"/>
    </row>
    <row r="111" spans="1:16" ht="48" customHeight="1">
      <c r="A111" s="644" t="s">
        <v>379</v>
      </c>
      <c r="B111" s="645">
        <f>SUM(B112:B126)</f>
        <v>0</v>
      </c>
      <c r="C111" s="645">
        <f>SUM(C112:C126)</f>
        <v>0</v>
      </c>
      <c r="D111" s="645">
        <f>SUM(D112:D126)</f>
        <v>0</v>
      </c>
      <c r="E111" s="645">
        <f>SUM(E112:E126)</f>
        <v>0</v>
      </c>
      <c r="F111" s="645">
        <f>SUM(F112:F126)</f>
        <v>0</v>
      </c>
      <c r="L111" s="644" t="s">
        <v>379</v>
      </c>
      <c r="M111" s="645">
        <f>SUM(M112:M126)</f>
        <v>0</v>
      </c>
      <c r="N111" s="645">
        <f>SUM(N112:N126)</f>
        <v>0</v>
      </c>
      <c r="O111" s="645">
        <f>SUM(O112:O126)</f>
        <v>0</v>
      </c>
      <c r="P111" s="645">
        <f>SUM(P112:P126)</f>
        <v>0</v>
      </c>
    </row>
    <row r="112" spans="1:16" ht="15" customHeight="1">
      <c r="A112" s="646" t="s">
        <v>378</v>
      </c>
      <c r="B112" s="645"/>
      <c r="C112" s="645"/>
      <c r="D112" s="645"/>
      <c r="E112" s="645"/>
      <c r="F112" s="645"/>
      <c r="L112" s="646" t="s">
        <v>378</v>
      </c>
      <c r="M112" s="645"/>
      <c r="N112" s="645"/>
      <c r="O112" s="645"/>
      <c r="P112" s="645"/>
    </row>
    <row r="113" spans="1:16" ht="15" customHeight="1">
      <c r="A113" s="647" t="s">
        <v>1597</v>
      </c>
      <c r="B113" s="648"/>
      <c r="C113" s="648"/>
      <c r="D113" s="648"/>
      <c r="E113" s="648"/>
      <c r="F113" s="648"/>
      <c r="L113" s="647" t="s">
        <v>1597</v>
      </c>
      <c r="M113" s="649"/>
      <c r="N113" s="649"/>
      <c r="O113" s="649"/>
      <c r="P113" s="649"/>
    </row>
    <row r="114" spans="1:16" ht="15" customHeight="1">
      <c r="A114" s="647" t="s">
        <v>1598</v>
      </c>
      <c r="B114" s="648"/>
      <c r="C114" s="648"/>
      <c r="D114" s="648"/>
      <c r="E114" s="648"/>
      <c r="F114" s="648"/>
      <c r="L114" s="647" t="s">
        <v>1598</v>
      </c>
      <c r="M114" s="649"/>
      <c r="N114" s="649"/>
      <c r="O114" s="649"/>
      <c r="P114" s="649"/>
    </row>
    <row r="115" spans="1:16" ht="15" customHeight="1">
      <c r="A115" s="647" t="s">
        <v>1599</v>
      </c>
      <c r="B115" s="648"/>
      <c r="C115" s="648"/>
      <c r="D115" s="648"/>
      <c r="E115" s="648"/>
      <c r="F115" s="648"/>
      <c r="L115" s="647" t="s">
        <v>1599</v>
      </c>
      <c r="M115" s="649"/>
      <c r="N115" s="649"/>
      <c r="O115" s="649"/>
      <c r="P115" s="649"/>
    </row>
    <row r="116" spans="1:16" ht="15" customHeight="1">
      <c r="A116" s="647" t="s">
        <v>1600</v>
      </c>
      <c r="B116" s="648"/>
      <c r="C116" s="648"/>
      <c r="D116" s="648"/>
      <c r="E116" s="648"/>
      <c r="F116" s="648"/>
      <c r="L116" s="647" t="s">
        <v>1600</v>
      </c>
      <c r="M116" s="649"/>
      <c r="N116" s="649"/>
      <c r="O116" s="649"/>
      <c r="P116" s="649"/>
    </row>
    <row r="117" spans="1:16" ht="15" customHeight="1">
      <c r="A117" s="647" t="s">
        <v>1601</v>
      </c>
      <c r="B117" s="648"/>
      <c r="C117" s="648"/>
      <c r="D117" s="648"/>
      <c r="E117" s="648"/>
      <c r="F117" s="648"/>
      <c r="L117" s="647" t="s">
        <v>1601</v>
      </c>
      <c r="M117" s="649"/>
      <c r="N117" s="649"/>
      <c r="O117" s="649"/>
      <c r="P117" s="649"/>
    </row>
    <row r="118" spans="1:16" ht="15" customHeight="1">
      <c r="A118" s="647" t="s">
        <v>1602</v>
      </c>
      <c r="B118" s="648"/>
      <c r="C118" s="648"/>
      <c r="D118" s="648"/>
      <c r="E118" s="648"/>
      <c r="F118" s="648"/>
      <c r="L118" s="647" t="s">
        <v>1602</v>
      </c>
      <c r="M118" s="649"/>
      <c r="N118" s="649"/>
      <c r="O118" s="649"/>
      <c r="P118" s="649"/>
    </row>
    <row r="119" spans="1:16" ht="15" customHeight="1">
      <c r="A119" s="647" t="s">
        <v>1603</v>
      </c>
      <c r="B119" s="648"/>
      <c r="C119" s="648"/>
      <c r="D119" s="648"/>
      <c r="E119" s="648"/>
      <c r="F119" s="648"/>
      <c r="L119" s="647" t="s">
        <v>1603</v>
      </c>
      <c r="M119" s="649"/>
      <c r="N119" s="649"/>
      <c r="O119" s="649"/>
      <c r="P119" s="649"/>
    </row>
    <row r="120" spans="1:16" ht="15" customHeight="1">
      <c r="A120" s="647" t="s">
        <v>1604</v>
      </c>
      <c r="B120" s="648"/>
      <c r="C120" s="648"/>
      <c r="D120" s="648"/>
      <c r="E120" s="648"/>
      <c r="F120" s="648"/>
      <c r="L120" s="647" t="s">
        <v>1604</v>
      </c>
      <c r="M120" s="649"/>
      <c r="N120" s="649"/>
      <c r="O120" s="649"/>
      <c r="P120" s="649"/>
    </row>
    <row r="121" spans="1:16" ht="15" customHeight="1">
      <c r="A121" s="647" t="s">
        <v>1605</v>
      </c>
      <c r="B121" s="648"/>
      <c r="C121" s="648"/>
      <c r="D121" s="648"/>
      <c r="E121" s="648"/>
      <c r="F121" s="648"/>
      <c r="L121" s="647" t="s">
        <v>1605</v>
      </c>
      <c r="M121" s="649"/>
      <c r="N121" s="649"/>
      <c r="O121" s="649"/>
      <c r="P121" s="649"/>
    </row>
    <row r="122" spans="1:16" ht="15" customHeight="1">
      <c r="A122" s="647" t="s">
        <v>1606</v>
      </c>
      <c r="B122" s="648"/>
      <c r="C122" s="648"/>
      <c r="D122" s="648"/>
      <c r="E122" s="648"/>
      <c r="F122" s="648"/>
      <c r="L122" s="647" t="s">
        <v>1606</v>
      </c>
      <c r="M122" s="649"/>
      <c r="N122" s="649"/>
      <c r="O122" s="649"/>
      <c r="P122" s="649"/>
    </row>
    <row r="123" spans="1:16" ht="15" customHeight="1">
      <c r="A123" s="647" t="s">
        <v>1607</v>
      </c>
      <c r="B123" s="648"/>
      <c r="C123" s="648"/>
      <c r="D123" s="648"/>
      <c r="E123" s="648"/>
      <c r="F123" s="648"/>
      <c r="L123" s="647" t="s">
        <v>1607</v>
      </c>
      <c r="M123" s="649"/>
      <c r="N123" s="649"/>
      <c r="O123" s="649"/>
      <c r="P123" s="649"/>
    </row>
    <row r="124" spans="1:16" ht="15" customHeight="1">
      <c r="A124" s="647" t="s">
        <v>1608</v>
      </c>
      <c r="B124" s="648"/>
      <c r="C124" s="648"/>
      <c r="D124" s="648"/>
      <c r="E124" s="648"/>
      <c r="F124" s="648"/>
      <c r="L124" s="647" t="s">
        <v>1608</v>
      </c>
      <c r="M124" s="649"/>
      <c r="N124" s="649"/>
      <c r="O124" s="649"/>
      <c r="P124" s="649"/>
    </row>
    <row r="125" spans="1:16" ht="15" customHeight="1">
      <c r="A125" s="647" t="s">
        <v>1609</v>
      </c>
      <c r="B125" s="648"/>
      <c r="C125" s="648"/>
      <c r="D125" s="648"/>
      <c r="E125" s="648"/>
      <c r="F125" s="648"/>
      <c r="L125" s="647" t="s">
        <v>1609</v>
      </c>
      <c r="M125" s="649"/>
      <c r="N125" s="649"/>
      <c r="O125" s="649"/>
      <c r="P125" s="649"/>
    </row>
    <row r="126" spans="1:16" ht="15" customHeight="1">
      <c r="A126" s="647" t="s">
        <v>1610</v>
      </c>
      <c r="B126" s="573"/>
      <c r="C126" s="573"/>
      <c r="D126" s="573"/>
      <c r="E126" s="573"/>
      <c r="F126" s="573"/>
      <c r="L126" s="647" t="s">
        <v>1610</v>
      </c>
      <c r="M126" s="649"/>
      <c r="N126" s="649"/>
      <c r="O126" s="649"/>
      <c r="P126" s="649"/>
    </row>
    <row r="127" spans="1:16" ht="33" customHeight="1">
      <c r="A127" s="644" t="s">
        <v>380</v>
      </c>
      <c r="B127" s="645">
        <f>IF(B95=0,0,B111/B95*100)</f>
        <v>0</v>
      </c>
      <c r="C127" s="645">
        <f>IF(C95=0,0,C111/C95*100)</f>
        <v>0</v>
      </c>
      <c r="D127" s="645">
        <f>IF(D95=0,0,D111/D95*100)</f>
        <v>0</v>
      </c>
      <c r="E127" s="645">
        <f>IF(E95=0,0,E111/E95*100)</f>
        <v>0</v>
      </c>
      <c r="F127" s="645">
        <f>IF(F95=0,0,F111/F95*100)</f>
        <v>0</v>
      </c>
      <c r="L127" s="644" t="s">
        <v>380</v>
      </c>
      <c r="M127" s="645">
        <f>IF(M95=0,0,M111/M95*100)</f>
        <v>0</v>
      </c>
      <c r="N127" s="645">
        <f>IF(N95=0,0,N111/N95*100)</f>
        <v>0</v>
      </c>
      <c r="O127" s="645">
        <f>IF(O95=0,0,O111/O95*100)</f>
        <v>0</v>
      </c>
      <c r="P127" s="645">
        <f>IF(P95=0,0,P111/P95*100)</f>
        <v>0</v>
      </c>
    </row>
    <row r="128" spans="1:16" s="627" customFormat="1" ht="15" customHeight="1">
      <c r="A128" s="650"/>
      <c r="B128" s="643"/>
      <c r="C128" s="643"/>
      <c r="D128" s="643"/>
      <c r="E128" s="643"/>
      <c r="F128" s="643"/>
      <c r="G128" s="643"/>
      <c r="H128" s="643"/>
      <c r="I128" s="643"/>
    </row>
    <row r="129" spans="1:9" s="640" customFormat="1" ht="15" customHeight="1">
      <c r="A129" s="650"/>
      <c r="B129" s="643"/>
      <c r="C129" s="643"/>
      <c r="D129" s="643"/>
      <c r="E129" s="643"/>
      <c r="F129" s="643"/>
      <c r="G129" s="643"/>
      <c r="H129" s="643"/>
      <c r="I129" s="643"/>
    </row>
    <row r="130" spans="1:9" s="640" customFormat="1" ht="43.5" customHeight="1">
      <c r="A130" s="651"/>
      <c r="B130" s="643"/>
      <c r="C130" s="643"/>
      <c r="D130" s="643"/>
      <c r="E130" s="643"/>
      <c r="F130" s="643"/>
      <c r="G130" s="643"/>
      <c r="H130" s="643"/>
      <c r="I130" s="643"/>
    </row>
    <row r="131" spans="1:9" s="640" customFormat="1" ht="15" customHeight="1">
      <c r="A131" s="650"/>
      <c r="B131" s="643"/>
      <c r="C131" s="643"/>
      <c r="D131" s="643"/>
      <c r="E131" s="643"/>
      <c r="F131" s="643"/>
      <c r="G131" s="643"/>
      <c r="H131" s="643"/>
      <c r="I131" s="643"/>
    </row>
  </sheetData>
  <sheetProtection password="F66E" sheet="1" objects="1" scenarios="1" formatCells="0" formatColumns="0" formatRows="0" insertRows="0"/>
  <mergeCells count="20">
    <mergeCell ref="A92:A94"/>
    <mergeCell ref="B92:F92"/>
    <mergeCell ref="L92:L94"/>
    <mergeCell ref="M92:P92"/>
    <mergeCell ref="C93:D93"/>
    <mergeCell ref="M93:N93"/>
    <mergeCell ref="A1:K1"/>
    <mergeCell ref="A3:K3"/>
    <mergeCell ref="A5:K5"/>
    <mergeCell ref="A9:A11"/>
    <mergeCell ref="G9:G11"/>
    <mergeCell ref="H9:H11"/>
    <mergeCell ref="I9:K9"/>
    <mergeCell ref="I10:J10"/>
    <mergeCell ref="K10:K11"/>
    <mergeCell ref="B9:B11"/>
    <mergeCell ref="C9:C11"/>
    <mergeCell ref="D9:D11"/>
    <mergeCell ref="E9:E11"/>
    <mergeCell ref="F9:F11"/>
  </mergeCells>
  <pageMargins left="0.51181102362204722" right="0" top="0.74803149606299213" bottom="0.35433070866141736" header="0.11811023622047245" footer="0.11811023622047245"/>
  <pageSetup paperSize="9" scale="80" orientation="landscape" r:id="rId1"/>
  <rowBreaks count="3" manualBreakCount="3">
    <brk id="66" max="8" man="1"/>
    <brk id="86" max="8" man="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workbookViewId="0">
      <selection sqref="A1:I1"/>
    </sheetView>
  </sheetViews>
  <sheetFormatPr defaultRowHeight="15.75"/>
  <cols>
    <col min="1" max="1" width="21.140625" style="417" customWidth="1"/>
    <col min="2" max="2" width="12.5703125" style="417" customWidth="1"/>
    <col min="3" max="3" width="13" style="417" customWidth="1"/>
    <col min="4" max="4" width="11.85546875" style="417" customWidth="1"/>
    <col min="5" max="5" width="13.5703125" style="417" customWidth="1"/>
    <col min="6" max="6" width="12.28515625" style="417" customWidth="1"/>
    <col min="7" max="7" width="12.85546875" style="417" customWidth="1"/>
    <col min="8" max="8" width="13.85546875" style="417" customWidth="1"/>
    <col min="9" max="9" width="13.140625" style="417" customWidth="1"/>
    <col min="10" max="10" width="13.140625" style="458" customWidth="1"/>
    <col min="11" max="15" width="9.140625" style="417"/>
    <col min="16" max="16" width="21.140625" style="417" hidden="1" customWidth="1"/>
    <col min="17" max="17" width="12.5703125" style="417" hidden="1" customWidth="1"/>
    <col min="18" max="18" width="13" style="417" hidden="1" customWidth="1"/>
    <col min="19" max="19" width="11.85546875" style="417" hidden="1" customWidth="1"/>
    <col min="20" max="20" width="13.5703125" style="417" hidden="1" customWidth="1"/>
    <col min="21" max="21" width="12.28515625" style="417" hidden="1" customWidth="1"/>
    <col min="22" max="22" width="12.85546875" style="417" hidden="1" customWidth="1"/>
    <col min="23" max="23" width="13.85546875" style="417" hidden="1" customWidth="1"/>
    <col min="24" max="24" width="13.140625" style="417" hidden="1" customWidth="1"/>
    <col min="25" max="16384" width="9.140625" style="417"/>
  </cols>
  <sheetData>
    <row r="1" spans="1:25" ht="18.75" customHeight="1">
      <c r="A1" s="1437" t="str">
        <f>Титульный!B10</f>
        <v xml:space="preserve"> </v>
      </c>
      <c r="B1" s="1437"/>
      <c r="C1" s="1437"/>
      <c r="D1" s="1437"/>
      <c r="E1" s="1437"/>
      <c r="F1" s="1437"/>
      <c r="G1" s="1437"/>
      <c r="H1" s="1437"/>
      <c r="I1" s="1437"/>
      <c r="P1" s="1439" t="str">
        <f>A1</f>
        <v xml:space="preserve"> </v>
      </c>
      <c r="Q1" s="1439"/>
      <c r="R1" s="1439"/>
      <c r="S1" s="1439"/>
      <c r="T1" s="1439"/>
      <c r="U1" s="1439"/>
      <c r="V1" s="1439"/>
      <c r="W1" s="1439"/>
      <c r="X1" s="1439"/>
    </row>
    <row r="2" spans="1:25">
      <c r="A2" s="372"/>
      <c r="B2" s="372"/>
      <c r="C2" s="372"/>
      <c r="D2" s="372"/>
      <c r="E2" s="372"/>
      <c r="F2" s="372"/>
      <c r="G2" s="372"/>
      <c r="H2" s="234"/>
      <c r="I2" s="234"/>
      <c r="P2" s="365"/>
      <c r="Q2" s="365"/>
      <c r="R2" s="365"/>
      <c r="S2" s="365"/>
      <c r="T2" s="365"/>
      <c r="U2" s="365"/>
      <c r="V2" s="365"/>
    </row>
    <row r="3" spans="1:25" ht="20.25">
      <c r="A3" s="1418" t="str">
        <f>Титульный!B21</f>
        <v/>
      </c>
      <c r="B3" s="1418"/>
      <c r="C3" s="1418"/>
      <c r="D3" s="1418"/>
      <c r="E3" s="1418"/>
      <c r="F3" s="1418"/>
      <c r="G3" s="1418"/>
      <c r="H3" s="1418"/>
      <c r="I3" s="1418"/>
      <c r="P3" s="1440" t="str">
        <f>A3</f>
        <v/>
      </c>
      <c r="Q3" s="1440"/>
      <c r="R3" s="1440"/>
      <c r="S3" s="1440"/>
      <c r="T3" s="1440"/>
      <c r="U3" s="1440"/>
      <c r="V3" s="1440"/>
      <c r="W3" s="1440"/>
      <c r="X3" s="1440"/>
    </row>
    <row r="4" spans="1:25" ht="18.75">
      <c r="A4" s="1182"/>
      <c r="B4" s="1182"/>
      <c r="C4" s="1081"/>
      <c r="D4" s="1081"/>
      <c r="E4" s="1182"/>
      <c r="F4" s="1182"/>
      <c r="G4" s="1182"/>
      <c r="H4" s="234"/>
      <c r="I4" s="234"/>
      <c r="P4" s="652"/>
      <c r="Q4" s="652"/>
      <c r="R4" s="1164"/>
      <c r="S4" s="1164"/>
      <c r="T4" s="652"/>
      <c r="U4" s="652"/>
      <c r="V4" s="652"/>
    </row>
    <row r="5" spans="1:25" ht="18.75">
      <c r="A5" s="628" t="s">
        <v>199</v>
      </c>
      <c r="B5" s="629">
        <f>Титульный!B6</f>
        <v>0</v>
      </c>
      <c r="C5" s="1081"/>
      <c r="D5" s="1081"/>
      <c r="E5" s="234"/>
      <c r="F5" s="234"/>
      <c r="G5" s="628" t="s">
        <v>200</v>
      </c>
      <c r="H5" s="629">
        <f>Титульный!B7</f>
        <v>0</v>
      </c>
      <c r="I5" s="234"/>
      <c r="P5" s="628" t="s">
        <v>199</v>
      </c>
      <c r="Q5" s="629">
        <f>B5</f>
        <v>0</v>
      </c>
      <c r="R5" s="1081"/>
      <c r="S5" s="1081"/>
      <c r="T5" s="234"/>
      <c r="U5" s="234"/>
      <c r="V5" s="628" t="s">
        <v>200</v>
      </c>
      <c r="W5" s="629">
        <f>H5</f>
        <v>0</v>
      </c>
      <c r="X5" s="234"/>
    </row>
    <row r="6" spans="1:25">
      <c r="A6" s="234"/>
      <c r="B6" s="234"/>
      <c r="C6" s="234"/>
      <c r="D6" s="234"/>
      <c r="E6" s="234"/>
      <c r="F6" s="234"/>
      <c r="G6" s="234"/>
      <c r="H6" s="234"/>
      <c r="I6" s="234"/>
      <c r="P6" s="234"/>
      <c r="Q6" s="234"/>
      <c r="R6" s="234"/>
      <c r="S6" s="234"/>
      <c r="T6" s="234"/>
      <c r="U6" s="234"/>
      <c r="V6" s="234"/>
      <c r="W6" s="234"/>
      <c r="X6" s="234"/>
    </row>
    <row r="7" spans="1:25" ht="24.75" customHeight="1">
      <c r="A7" s="1436" t="s">
        <v>1139</v>
      </c>
      <c r="B7" s="1436"/>
      <c r="C7" s="1436"/>
      <c r="D7" s="1436"/>
      <c r="E7" s="1436"/>
      <c r="F7" s="1436"/>
      <c r="G7" s="1436"/>
      <c r="H7" s="1436"/>
      <c r="I7" s="1436"/>
      <c r="K7" s="1167"/>
      <c r="L7" s="1167"/>
      <c r="M7" s="1167"/>
      <c r="P7" s="1436" t="s">
        <v>1139</v>
      </c>
      <c r="Q7" s="1436"/>
      <c r="R7" s="1436"/>
      <c r="S7" s="1436"/>
      <c r="T7" s="1436"/>
      <c r="U7" s="1436"/>
      <c r="V7" s="1436"/>
      <c r="W7" s="1436"/>
      <c r="X7" s="1436"/>
    </row>
    <row r="8" spans="1:25">
      <c r="A8" s="1183" t="s">
        <v>1653</v>
      </c>
      <c r="B8" s="234"/>
      <c r="C8" s="234"/>
      <c r="D8" s="234"/>
      <c r="E8" s="234"/>
      <c r="F8" s="234"/>
      <c r="G8" s="234"/>
      <c r="H8" s="234"/>
      <c r="I8" s="234" t="s">
        <v>457</v>
      </c>
      <c r="P8" s="1183" t="s">
        <v>1652</v>
      </c>
      <c r="Q8" s="234"/>
      <c r="R8" s="234"/>
      <c r="S8" s="234"/>
      <c r="T8" s="234"/>
      <c r="U8" s="234"/>
      <c r="V8" s="234"/>
      <c r="W8" s="234"/>
      <c r="X8" s="234" t="s">
        <v>457</v>
      </c>
    </row>
    <row r="9" spans="1:25" ht="15" customHeight="1">
      <c r="A9" s="1435" t="s">
        <v>467</v>
      </c>
      <c r="B9" s="1435" t="s">
        <v>1109</v>
      </c>
      <c r="C9" s="1435"/>
      <c r="D9" s="1435"/>
      <c r="E9" s="1435"/>
      <c r="F9" s="1435"/>
      <c r="G9" s="1435"/>
      <c r="H9" s="1435"/>
      <c r="I9" s="1435" t="s">
        <v>1629</v>
      </c>
      <c r="J9" s="1169"/>
      <c r="P9" s="1435" t="s">
        <v>467</v>
      </c>
      <c r="Q9" s="1435" t="s">
        <v>1109</v>
      </c>
      <c r="R9" s="1435"/>
      <c r="S9" s="1435"/>
      <c r="T9" s="1435"/>
      <c r="U9" s="1435"/>
      <c r="V9" s="1435"/>
      <c r="W9" s="1435"/>
      <c r="X9" s="1435" t="s">
        <v>1629</v>
      </c>
    </row>
    <row r="10" spans="1:25" ht="15" customHeight="1">
      <c r="A10" s="1435"/>
      <c r="B10" s="1435" t="s">
        <v>1104</v>
      </c>
      <c r="C10" s="1435"/>
      <c r="D10" s="1435"/>
      <c r="E10" s="1435"/>
      <c r="F10" s="1435"/>
      <c r="G10" s="1435"/>
      <c r="H10" s="1435"/>
      <c r="I10" s="1435"/>
      <c r="J10" s="1169"/>
      <c r="P10" s="1435"/>
      <c r="Q10" s="1435" t="s">
        <v>1104</v>
      </c>
      <c r="R10" s="1435"/>
      <c r="S10" s="1435"/>
      <c r="T10" s="1435"/>
      <c r="U10" s="1435"/>
      <c r="V10" s="1435"/>
      <c r="W10" s="1435"/>
      <c r="X10" s="1435"/>
    </row>
    <row r="11" spans="1:25" ht="30" customHeight="1">
      <c r="A11" s="1435"/>
      <c r="B11" s="1438" t="s">
        <v>1105</v>
      </c>
      <c r="C11" s="1438" t="s">
        <v>1106</v>
      </c>
      <c r="D11" s="1438" t="s">
        <v>1107</v>
      </c>
      <c r="E11" s="1435" t="s">
        <v>1108</v>
      </c>
      <c r="F11" s="1435"/>
      <c r="G11" s="1435"/>
      <c r="H11" s="1435" t="s">
        <v>1625</v>
      </c>
      <c r="I11" s="1435"/>
      <c r="J11" s="1169"/>
      <c r="P11" s="1435"/>
      <c r="Q11" s="1438" t="s">
        <v>1105</v>
      </c>
      <c r="R11" s="1438" t="s">
        <v>1106</v>
      </c>
      <c r="S11" s="1438" t="s">
        <v>1107</v>
      </c>
      <c r="T11" s="1435" t="s">
        <v>1108</v>
      </c>
      <c r="U11" s="1435"/>
      <c r="V11" s="1435"/>
      <c r="W11" s="1435" t="s">
        <v>1625</v>
      </c>
      <c r="X11" s="1435"/>
    </row>
    <row r="12" spans="1:25" ht="38.25">
      <c r="A12" s="1435"/>
      <c r="B12" s="1438"/>
      <c r="C12" s="1438"/>
      <c r="D12" s="1438"/>
      <c r="E12" s="1170" t="s">
        <v>1626</v>
      </c>
      <c r="F12" s="1170" t="s">
        <v>1626</v>
      </c>
      <c r="G12" s="1170" t="s">
        <v>1626</v>
      </c>
      <c r="H12" s="1435"/>
      <c r="I12" s="1435"/>
      <c r="J12" s="1171"/>
      <c r="P12" s="1435"/>
      <c r="Q12" s="1438"/>
      <c r="R12" s="1438"/>
      <c r="S12" s="1438"/>
      <c r="T12" s="1172" t="s">
        <v>1626</v>
      </c>
      <c r="U12" s="1172" t="s">
        <v>1626</v>
      </c>
      <c r="V12" s="1172" t="s">
        <v>1626</v>
      </c>
      <c r="W12" s="1435"/>
      <c r="X12" s="1435"/>
    </row>
    <row r="13" spans="1:25">
      <c r="A13" s="1083" t="s">
        <v>1110</v>
      </c>
      <c r="B13" s="1313"/>
      <c r="C13" s="1331"/>
      <c r="D13" s="1331"/>
      <c r="E13" s="1331"/>
      <c r="F13" s="1331"/>
      <c r="G13" s="1331"/>
      <c r="H13" s="1331"/>
      <c r="I13" s="1133">
        <f>SUM(B13:H13)</f>
        <v>0</v>
      </c>
      <c r="J13" s="1171"/>
      <c r="P13" s="1083" t="s">
        <v>1110</v>
      </c>
      <c r="Q13" s="1173">
        <f>B13</f>
        <v>0</v>
      </c>
      <c r="R13" s="1173">
        <f t="shared" ref="R13:W13" si="0">C13</f>
        <v>0</v>
      </c>
      <c r="S13" s="1173">
        <f t="shared" si="0"/>
        <v>0</v>
      </c>
      <c r="T13" s="1173">
        <f t="shared" si="0"/>
        <v>0</v>
      </c>
      <c r="U13" s="1173">
        <f t="shared" si="0"/>
        <v>0</v>
      </c>
      <c r="V13" s="1173">
        <f t="shared" si="0"/>
        <v>0</v>
      </c>
      <c r="W13" s="1173">
        <f t="shared" si="0"/>
        <v>0</v>
      </c>
      <c r="X13" s="1084">
        <f>SUM(Q13:W13)</f>
        <v>0</v>
      </c>
    </row>
    <row r="14" spans="1:25" ht="23.25" customHeight="1">
      <c r="A14" s="1083" t="s">
        <v>1027</v>
      </c>
      <c r="B14" s="1313"/>
      <c r="C14" s="1331"/>
      <c r="D14" s="1331"/>
      <c r="E14" s="1331"/>
      <c r="F14" s="1331"/>
      <c r="G14" s="1331"/>
      <c r="H14" s="1331"/>
      <c r="I14" s="1133">
        <f t="shared" ref="I14:I17" si="1">SUM(B14:H14)</f>
        <v>0</v>
      </c>
      <c r="J14" s="1171"/>
      <c r="P14" s="1083" t="s">
        <v>1027</v>
      </c>
      <c r="Q14" s="1173">
        <f t="shared" ref="Q14:Q17" si="2">B14</f>
        <v>0</v>
      </c>
      <c r="R14" s="1173">
        <f t="shared" ref="R14:R17" si="3">C14</f>
        <v>0</v>
      </c>
      <c r="S14" s="1173">
        <f t="shared" ref="S14:S17" si="4">D14</f>
        <v>0</v>
      </c>
      <c r="T14" s="1173">
        <f t="shared" ref="T14:T17" si="5">E14</f>
        <v>0</v>
      </c>
      <c r="U14" s="1173">
        <f t="shared" ref="U14:U17" si="6">F14</f>
        <v>0</v>
      </c>
      <c r="V14" s="1173">
        <f t="shared" ref="V14:V17" si="7">G14</f>
        <v>0</v>
      </c>
      <c r="W14" s="1173">
        <f t="shared" ref="W14:W17" si="8">H14</f>
        <v>0</v>
      </c>
      <c r="X14" s="1084">
        <f t="shared" ref="X14:X17" si="9">SUM(Q14:W14)</f>
        <v>0</v>
      </c>
    </row>
    <row r="15" spans="1:25">
      <c r="A15" s="1083" t="s">
        <v>216</v>
      </c>
      <c r="B15" s="1313"/>
      <c r="C15" s="1331"/>
      <c r="D15" s="1331"/>
      <c r="E15" s="1331"/>
      <c r="F15" s="1331"/>
      <c r="G15" s="1331"/>
      <c r="H15" s="1331"/>
      <c r="I15" s="1133">
        <f t="shared" si="1"/>
        <v>0</v>
      </c>
      <c r="J15" s="1171"/>
      <c r="P15" s="1083" t="s">
        <v>216</v>
      </c>
      <c r="Q15" s="1173">
        <f t="shared" si="2"/>
        <v>0</v>
      </c>
      <c r="R15" s="1173">
        <f t="shared" si="3"/>
        <v>0</v>
      </c>
      <c r="S15" s="1173">
        <f t="shared" si="4"/>
        <v>0</v>
      </c>
      <c r="T15" s="1173">
        <f t="shared" si="5"/>
        <v>0</v>
      </c>
      <c r="U15" s="1173">
        <f t="shared" si="6"/>
        <v>0</v>
      </c>
      <c r="V15" s="1173">
        <f t="shared" si="7"/>
        <v>0</v>
      </c>
      <c r="W15" s="1173">
        <f t="shared" si="8"/>
        <v>0</v>
      </c>
      <c r="X15" s="1084">
        <f t="shared" si="9"/>
        <v>0</v>
      </c>
    </row>
    <row r="16" spans="1:25">
      <c r="A16" s="1083" t="s">
        <v>1140</v>
      </c>
      <c r="B16" s="1313"/>
      <c r="C16" s="1331"/>
      <c r="D16" s="1331"/>
      <c r="E16" s="1331"/>
      <c r="F16" s="1331"/>
      <c r="G16" s="1331"/>
      <c r="H16" s="1331"/>
      <c r="I16" s="1133">
        <f t="shared" si="1"/>
        <v>0</v>
      </c>
      <c r="J16" s="1171"/>
      <c r="P16" s="1083" t="s">
        <v>1140</v>
      </c>
      <c r="Q16" s="1173">
        <f t="shared" si="2"/>
        <v>0</v>
      </c>
      <c r="R16" s="1173">
        <f t="shared" si="3"/>
        <v>0</v>
      </c>
      <c r="S16" s="1173">
        <f t="shared" si="4"/>
        <v>0</v>
      </c>
      <c r="T16" s="1173">
        <f t="shared" si="5"/>
        <v>0</v>
      </c>
      <c r="U16" s="1173">
        <f t="shared" si="6"/>
        <v>0</v>
      </c>
      <c r="V16" s="1173">
        <f t="shared" si="7"/>
        <v>0</v>
      </c>
      <c r="W16" s="1173">
        <f t="shared" si="8"/>
        <v>0</v>
      </c>
      <c r="X16" s="1084">
        <f t="shared" si="9"/>
        <v>0</v>
      </c>
      <c r="Y16" s="1174" t="s">
        <v>1632</v>
      </c>
    </row>
    <row r="17" spans="1:24" s="773" customFormat="1">
      <c r="A17" s="663" t="s">
        <v>1627</v>
      </c>
      <c r="B17" s="1332"/>
      <c r="C17" s="1333"/>
      <c r="D17" s="1333"/>
      <c r="E17" s="1333"/>
      <c r="F17" s="1333"/>
      <c r="G17" s="1333"/>
      <c r="H17" s="1333"/>
      <c r="I17" s="1133">
        <f t="shared" si="1"/>
        <v>0</v>
      </c>
      <c r="J17" s="1175"/>
      <c r="P17" s="663" t="s">
        <v>1627</v>
      </c>
      <c r="Q17" s="1176">
        <f t="shared" si="2"/>
        <v>0</v>
      </c>
      <c r="R17" s="1176">
        <f t="shared" si="3"/>
        <v>0</v>
      </c>
      <c r="S17" s="1176">
        <f t="shared" si="4"/>
        <v>0</v>
      </c>
      <c r="T17" s="1176">
        <f t="shared" si="5"/>
        <v>0</v>
      </c>
      <c r="U17" s="1176">
        <f t="shared" si="6"/>
        <v>0</v>
      </c>
      <c r="V17" s="1176">
        <f t="shared" si="7"/>
        <v>0</v>
      </c>
      <c r="W17" s="1176">
        <f t="shared" si="8"/>
        <v>0</v>
      </c>
      <c r="X17" s="315">
        <f t="shared" si="9"/>
        <v>0</v>
      </c>
    </row>
    <row r="18" spans="1:24" ht="47.25">
      <c r="A18" s="1083" t="s">
        <v>1111</v>
      </c>
      <c r="B18" s="1133"/>
      <c r="C18" s="1133"/>
      <c r="D18" s="1133"/>
      <c r="E18" s="1133"/>
      <c r="F18" s="1133"/>
      <c r="G18" s="1133"/>
      <c r="H18" s="1133"/>
      <c r="I18" s="1133"/>
      <c r="J18" s="1171"/>
      <c r="P18" s="1083" t="s">
        <v>1111</v>
      </c>
      <c r="Q18" s="658"/>
      <c r="R18" s="658"/>
      <c r="S18" s="1084"/>
      <c r="T18" s="1084"/>
      <c r="U18" s="1084"/>
      <c r="V18" s="1084"/>
      <c r="W18" s="1084"/>
      <c r="X18" s="1084"/>
    </row>
    <row r="19" spans="1:24">
      <c r="A19" s="1083" t="s">
        <v>1027</v>
      </c>
      <c r="B19" s="1133">
        <f t="shared" ref="B19:I21" si="10">IF(B13=0,0,(B14-B13)/B13)</f>
        <v>0</v>
      </c>
      <c r="C19" s="1133">
        <f t="shared" si="10"/>
        <v>0</v>
      </c>
      <c r="D19" s="1133">
        <f t="shared" si="10"/>
        <v>0</v>
      </c>
      <c r="E19" s="1133">
        <f t="shared" si="10"/>
        <v>0</v>
      </c>
      <c r="F19" s="1133">
        <f t="shared" si="10"/>
        <v>0</v>
      </c>
      <c r="G19" s="1133">
        <f t="shared" si="10"/>
        <v>0</v>
      </c>
      <c r="H19" s="1133">
        <f t="shared" si="10"/>
        <v>0</v>
      </c>
      <c r="I19" s="1133">
        <f t="shared" si="10"/>
        <v>0</v>
      </c>
      <c r="J19" s="1177"/>
      <c r="P19" s="1083" t="s">
        <v>1027</v>
      </c>
      <c r="Q19" s="657">
        <f t="shared" ref="Q19:X21" si="11">IF(Q13=0,0,(Q14-Q13)/Q13)</f>
        <v>0</v>
      </c>
      <c r="R19" s="657">
        <f t="shared" si="11"/>
        <v>0</v>
      </c>
      <c r="S19" s="657">
        <f t="shared" si="11"/>
        <v>0</v>
      </c>
      <c r="T19" s="657">
        <f t="shared" si="11"/>
        <v>0</v>
      </c>
      <c r="U19" s="657">
        <f t="shared" si="11"/>
        <v>0</v>
      </c>
      <c r="V19" s="657">
        <f t="shared" si="11"/>
        <v>0</v>
      </c>
      <c r="W19" s="657">
        <f t="shared" si="11"/>
        <v>0</v>
      </c>
      <c r="X19" s="657">
        <f t="shared" si="11"/>
        <v>0</v>
      </c>
    </row>
    <row r="20" spans="1:24">
      <c r="A20" s="1083" t="s">
        <v>216</v>
      </c>
      <c r="B20" s="1133">
        <f t="shared" si="10"/>
        <v>0</v>
      </c>
      <c r="C20" s="1133">
        <f t="shared" si="10"/>
        <v>0</v>
      </c>
      <c r="D20" s="1133">
        <f t="shared" si="10"/>
        <v>0</v>
      </c>
      <c r="E20" s="1133">
        <f t="shared" si="10"/>
        <v>0</v>
      </c>
      <c r="F20" s="1133">
        <f t="shared" si="10"/>
        <v>0</v>
      </c>
      <c r="G20" s="1133">
        <f t="shared" si="10"/>
        <v>0</v>
      </c>
      <c r="H20" s="1133">
        <f t="shared" si="10"/>
        <v>0</v>
      </c>
      <c r="I20" s="1133">
        <f t="shared" si="10"/>
        <v>0</v>
      </c>
      <c r="J20" s="1177"/>
      <c r="P20" s="1083" t="s">
        <v>216</v>
      </c>
      <c r="Q20" s="657">
        <f t="shared" si="11"/>
        <v>0</v>
      </c>
      <c r="R20" s="657">
        <f t="shared" si="11"/>
        <v>0</v>
      </c>
      <c r="S20" s="657">
        <f t="shared" si="11"/>
        <v>0</v>
      </c>
      <c r="T20" s="657">
        <f t="shared" si="11"/>
        <v>0</v>
      </c>
      <c r="U20" s="657">
        <f t="shared" si="11"/>
        <v>0</v>
      </c>
      <c r="V20" s="657">
        <f t="shared" si="11"/>
        <v>0</v>
      </c>
      <c r="W20" s="657">
        <f t="shared" si="11"/>
        <v>0</v>
      </c>
      <c r="X20" s="657">
        <f t="shared" si="11"/>
        <v>0</v>
      </c>
    </row>
    <row r="21" spans="1:24">
      <c r="A21" s="1083" t="s">
        <v>1140</v>
      </c>
      <c r="B21" s="1133">
        <f t="shared" si="10"/>
        <v>0</v>
      </c>
      <c r="C21" s="1133">
        <f t="shared" si="10"/>
        <v>0</v>
      </c>
      <c r="D21" s="1133">
        <f t="shared" si="10"/>
        <v>0</v>
      </c>
      <c r="E21" s="1133">
        <f t="shared" si="10"/>
        <v>0</v>
      </c>
      <c r="F21" s="1133">
        <f t="shared" si="10"/>
        <v>0</v>
      </c>
      <c r="G21" s="1133">
        <f t="shared" si="10"/>
        <v>0</v>
      </c>
      <c r="H21" s="1133">
        <f t="shared" si="10"/>
        <v>0</v>
      </c>
      <c r="I21" s="1133">
        <f t="shared" si="10"/>
        <v>0</v>
      </c>
      <c r="J21" s="1177"/>
      <c r="P21" s="1083" t="s">
        <v>1140</v>
      </c>
      <c r="Q21" s="657">
        <f t="shared" si="11"/>
        <v>0</v>
      </c>
      <c r="R21" s="657">
        <f t="shared" si="11"/>
        <v>0</v>
      </c>
      <c r="S21" s="657">
        <f t="shared" si="11"/>
        <v>0</v>
      </c>
      <c r="T21" s="657">
        <f t="shared" si="11"/>
        <v>0</v>
      </c>
      <c r="U21" s="657">
        <f t="shared" si="11"/>
        <v>0</v>
      </c>
      <c r="V21" s="657">
        <f t="shared" si="11"/>
        <v>0</v>
      </c>
      <c r="W21" s="657">
        <f t="shared" si="11"/>
        <v>0</v>
      </c>
      <c r="X21" s="657">
        <f t="shared" si="11"/>
        <v>0</v>
      </c>
    </row>
    <row r="22" spans="1:24" ht="47.25">
      <c r="A22" s="1083" t="s">
        <v>1114</v>
      </c>
      <c r="B22" s="1133"/>
      <c r="C22" s="1133"/>
      <c r="D22" s="1133"/>
      <c r="E22" s="1133"/>
      <c r="F22" s="1133"/>
      <c r="G22" s="1133"/>
      <c r="H22" s="1133"/>
      <c r="I22" s="1133"/>
      <c r="J22" s="1177"/>
      <c r="P22" s="1083" t="s">
        <v>1114</v>
      </c>
      <c r="Q22" s="657"/>
      <c r="R22" s="657"/>
      <c r="S22" s="657"/>
      <c r="T22" s="657"/>
      <c r="U22" s="657"/>
      <c r="V22" s="657"/>
      <c r="W22" s="657"/>
      <c r="X22" s="657"/>
    </row>
    <row r="23" spans="1:24">
      <c r="A23" s="1083" t="s">
        <v>1027</v>
      </c>
      <c r="B23" s="1133">
        <f t="shared" ref="B23:I25" si="12">IF(B19&lt;-0.05,-0.05,B19)</f>
        <v>0</v>
      </c>
      <c r="C23" s="1133">
        <f t="shared" si="12"/>
        <v>0</v>
      </c>
      <c r="D23" s="1133">
        <f t="shared" si="12"/>
        <v>0</v>
      </c>
      <c r="E23" s="1133">
        <f t="shared" si="12"/>
        <v>0</v>
      </c>
      <c r="F23" s="1133">
        <f t="shared" si="12"/>
        <v>0</v>
      </c>
      <c r="G23" s="1133">
        <f t="shared" si="12"/>
        <v>0</v>
      </c>
      <c r="H23" s="1133">
        <f t="shared" ref="H23" si="13">IF(H19&lt;-0.05,-0.05,H19)</f>
        <v>0</v>
      </c>
      <c r="I23" s="1133">
        <f t="shared" si="12"/>
        <v>0</v>
      </c>
      <c r="J23" s="1177"/>
      <c r="P23" s="1083" t="s">
        <v>1027</v>
      </c>
      <c r="Q23" s="657">
        <f t="shared" ref="Q23:X25" si="14">IF(Q19&lt;-0.05,-0.05,Q19)</f>
        <v>0</v>
      </c>
      <c r="R23" s="657">
        <f t="shared" si="14"/>
        <v>0</v>
      </c>
      <c r="S23" s="657">
        <f t="shared" si="14"/>
        <v>0</v>
      </c>
      <c r="T23" s="657">
        <f t="shared" si="14"/>
        <v>0</v>
      </c>
      <c r="U23" s="657">
        <f t="shared" si="14"/>
        <v>0</v>
      </c>
      <c r="V23" s="657">
        <f t="shared" si="14"/>
        <v>0</v>
      </c>
      <c r="W23" s="657">
        <f t="shared" si="14"/>
        <v>0</v>
      </c>
      <c r="X23" s="657">
        <f>IF(X19&lt;-0.05,-0.05,X19)</f>
        <v>0</v>
      </c>
    </row>
    <row r="24" spans="1:24">
      <c r="A24" s="1083" t="s">
        <v>216</v>
      </c>
      <c r="B24" s="1133">
        <f t="shared" si="12"/>
        <v>0</v>
      </c>
      <c r="C24" s="1133">
        <f t="shared" si="12"/>
        <v>0</v>
      </c>
      <c r="D24" s="1133">
        <f t="shared" si="12"/>
        <v>0</v>
      </c>
      <c r="E24" s="1133">
        <f t="shared" si="12"/>
        <v>0</v>
      </c>
      <c r="F24" s="1133">
        <f t="shared" si="12"/>
        <v>0</v>
      </c>
      <c r="G24" s="1133">
        <f t="shared" si="12"/>
        <v>0</v>
      </c>
      <c r="H24" s="1133">
        <f t="shared" ref="H24" si="15">IF(H20&lt;-0.05,-0.05,H20)</f>
        <v>0</v>
      </c>
      <c r="I24" s="1133">
        <f t="shared" si="12"/>
        <v>0</v>
      </c>
      <c r="J24" s="1177"/>
      <c r="P24" s="1083" t="s">
        <v>216</v>
      </c>
      <c r="Q24" s="657">
        <f t="shared" ref="Q24:V24" si="16">IF(Q20&lt;-0.05,-0.05,Q20)</f>
        <v>0</v>
      </c>
      <c r="R24" s="657">
        <f t="shared" si="16"/>
        <v>0</v>
      </c>
      <c r="S24" s="657">
        <f t="shared" si="16"/>
        <v>0</v>
      </c>
      <c r="T24" s="657">
        <f t="shared" si="16"/>
        <v>0</v>
      </c>
      <c r="U24" s="657">
        <f t="shared" si="16"/>
        <v>0</v>
      </c>
      <c r="V24" s="657">
        <f t="shared" si="16"/>
        <v>0</v>
      </c>
      <c r="W24" s="657">
        <f t="shared" si="14"/>
        <v>0</v>
      </c>
      <c r="X24" s="657">
        <f t="shared" si="14"/>
        <v>0</v>
      </c>
    </row>
    <row r="25" spans="1:24">
      <c r="A25" s="1083" t="s">
        <v>1140</v>
      </c>
      <c r="B25" s="1133">
        <f t="shared" si="12"/>
        <v>0</v>
      </c>
      <c r="C25" s="1133">
        <f t="shared" si="12"/>
        <v>0</v>
      </c>
      <c r="D25" s="1133">
        <f t="shared" si="12"/>
        <v>0</v>
      </c>
      <c r="E25" s="1133">
        <f t="shared" si="12"/>
        <v>0</v>
      </c>
      <c r="F25" s="1133">
        <f t="shared" si="12"/>
        <v>0</v>
      </c>
      <c r="G25" s="1133">
        <f t="shared" si="12"/>
        <v>0</v>
      </c>
      <c r="H25" s="1133">
        <f t="shared" ref="H25" si="17">IF(H21&lt;-0.05,-0.05,H21)</f>
        <v>0</v>
      </c>
      <c r="I25" s="1133">
        <f t="shared" si="12"/>
        <v>0</v>
      </c>
      <c r="J25" s="1177"/>
      <c r="P25" s="1083" t="s">
        <v>1140</v>
      </c>
      <c r="Q25" s="657">
        <f t="shared" ref="Q25:V25" si="18">IF(Q21&lt;-0.05,-0.05,Q21)</f>
        <v>0</v>
      </c>
      <c r="R25" s="657">
        <f t="shared" si="18"/>
        <v>0</v>
      </c>
      <c r="S25" s="657">
        <f t="shared" si="18"/>
        <v>0</v>
      </c>
      <c r="T25" s="657">
        <f t="shared" si="18"/>
        <v>0</v>
      </c>
      <c r="U25" s="657">
        <f t="shared" si="18"/>
        <v>0</v>
      </c>
      <c r="V25" s="657">
        <f t="shared" si="18"/>
        <v>0</v>
      </c>
      <c r="W25" s="657">
        <f t="shared" si="14"/>
        <v>0</v>
      </c>
      <c r="X25" s="657">
        <f t="shared" si="14"/>
        <v>0</v>
      </c>
    </row>
    <row r="26" spans="1:24" ht="31.5">
      <c r="A26" s="1083" t="s">
        <v>1118</v>
      </c>
      <c r="B26" s="1133">
        <f t="shared" ref="B26:D26" si="19">SUM(B23:B25)/3</f>
        <v>0</v>
      </c>
      <c r="C26" s="1133">
        <f t="shared" si="19"/>
        <v>0</v>
      </c>
      <c r="D26" s="1133">
        <f t="shared" si="19"/>
        <v>0</v>
      </c>
      <c r="E26" s="1133">
        <f t="shared" ref="E26:G26" si="20">SUM(E23:E25)/3</f>
        <v>0</v>
      </c>
      <c r="F26" s="1133">
        <f t="shared" si="20"/>
        <v>0</v>
      </c>
      <c r="G26" s="1133">
        <f t="shared" si="20"/>
        <v>0</v>
      </c>
      <c r="H26" s="1133">
        <f t="shared" ref="H26" si="21">SUM(H23:H25)/3</f>
        <v>0</v>
      </c>
      <c r="I26" s="1133">
        <f>SUM(I23:I25)/3</f>
        <v>0</v>
      </c>
      <c r="J26" s="1177"/>
      <c r="P26" s="1083" t="s">
        <v>1118</v>
      </c>
      <c r="Q26" s="657">
        <f t="shared" ref="Q26:S26" si="22">SUM(Q23:Q25)/3</f>
        <v>0</v>
      </c>
      <c r="R26" s="657">
        <f t="shared" si="22"/>
        <v>0</v>
      </c>
      <c r="S26" s="657">
        <f t="shared" si="22"/>
        <v>0</v>
      </c>
      <c r="T26" s="657">
        <f t="shared" ref="T26:W26" si="23">SUM(T23:T25)/3</f>
        <v>0</v>
      </c>
      <c r="U26" s="657">
        <f t="shared" si="23"/>
        <v>0</v>
      </c>
      <c r="V26" s="657">
        <f t="shared" si="23"/>
        <v>0</v>
      </c>
      <c r="W26" s="657">
        <f t="shared" si="23"/>
        <v>0</v>
      </c>
      <c r="X26" s="657">
        <f>SUM(X23:X25)/3</f>
        <v>0</v>
      </c>
    </row>
    <row r="27" spans="1:24" ht="141.75">
      <c r="A27" s="661" t="s">
        <v>1120</v>
      </c>
      <c r="B27" s="1133">
        <f t="shared" ref="B27:C27" si="24">B28-B29</f>
        <v>0</v>
      </c>
      <c r="C27" s="1133">
        <f t="shared" si="24"/>
        <v>0</v>
      </c>
      <c r="D27" s="1133">
        <f>D28-D29</f>
        <v>0</v>
      </c>
      <c r="E27" s="1133">
        <f t="shared" ref="E27:H27" si="25">E28-E29</f>
        <v>0</v>
      </c>
      <c r="F27" s="1133">
        <f t="shared" si="25"/>
        <v>0</v>
      </c>
      <c r="G27" s="1133">
        <f t="shared" si="25"/>
        <v>0</v>
      </c>
      <c r="H27" s="1133">
        <f t="shared" si="25"/>
        <v>0</v>
      </c>
      <c r="I27" s="1133">
        <f>I28-I29</f>
        <v>0</v>
      </c>
      <c r="J27" s="1177"/>
      <c r="P27" s="656" t="s">
        <v>1120</v>
      </c>
      <c r="Q27" s="657">
        <f t="shared" ref="Q27:R27" si="26">Q28-Q29</f>
        <v>0</v>
      </c>
      <c r="R27" s="657">
        <f t="shared" si="26"/>
        <v>0</v>
      </c>
      <c r="S27" s="657">
        <f>S28-S29</f>
        <v>0</v>
      </c>
      <c r="T27" s="657">
        <f t="shared" ref="T27:W27" si="27">T28-T29</f>
        <v>0</v>
      </c>
      <c r="U27" s="657">
        <f t="shared" si="27"/>
        <v>0</v>
      </c>
      <c r="V27" s="657">
        <f t="shared" si="27"/>
        <v>0</v>
      </c>
      <c r="W27" s="657">
        <f t="shared" si="27"/>
        <v>0</v>
      </c>
      <c r="X27" s="657">
        <f>X28-X29</f>
        <v>0</v>
      </c>
    </row>
    <row r="28" spans="1:24" ht="110.25">
      <c r="A28" s="661" t="s">
        <v>1121</v>
      </c>
      <c r="B28" s="1313"/>
      <c r="C28" s="1331"/>
      <c r="D28" s="1331"/>
      <c r="E28" s="1331"/>
      <c r="F28" s="1331"/>
      <c r="G28" s="1331"/>
      <c r="H28" s="1331"/>
      <c r="I28" s="1133">
        <f>SUM(B28:H28)</f>
        <v>0</v>
      </c>
      <c r="J28" s="1171"/>
      <c r="P28" s="656" t="s">
        <v>1121</v>
      </c>
      <c r="Q28" s="1178"/>
      <c r="R28" s="1179"/>
      <c r="S28" s="1179"/>
      <c r="T28" s="1179"/>
      <c r="U28" s="1179"/>
      <c r="V28" s="1179"/>
      <c r="W28" s="1179"/>
      <c r="X28" s="1084">
        <f>SUM(Q28:W28)</f>
        <v>0</v>
      </c>
    </row>
    <row r="29" spans="1:24" ht="78.75">
      <c r="A29" s="661" t="s">
        <v>1122</v>
      </c>
      <c r="B29" s="1313"/>
      <c r="C29" s="1331"/>
      <c r="D29" s="1331"/>
      <c r="E29" s="1331"/>
      <c r="F29" s="1331"/>
      <c r="G29" s="1331"/>
      <c r="H29" s="1331"/>
      <c r="I29" s="1133">
        <f>SUM(B29:H29)</f>
        <v>0</v>
      </c>
      <c r="J29" s="1171"/>
      <c r="P29" s="656" t="s">
        <v>1122</v>
      </c>
      <c r="Q29" s="1178"/>
      <c r="R29" s="1179"/>
      <c r="S29" s="1179"/>
      <c r="T29" s="1179"/>
      <c r="U29" s="1179"/>
      <c r="V29" s="1179"/>
      <c r="W29" s="1179"/>
      <c r="X29" s="1084">
        <f>SUM(Q29:W29)</f>
        <v>0</v>
      </c>
    </row>
    <row r="30" spans="1:24" ht="94.5">
      <c r="A30" s="661" t="s">
        <v>1806</v>
      </c>
      <c r="B30" s="1362">
        <f t="shared" ref="B30:H30" si="28">B32-B31</f>
        <v>0</v>
      </c>
      <c r="C30" s="1133">
        <f t="shared" si="28"/>
        <v>0</v>
      </c>
      <c r="D30" s="1362">
        <f t="shared" si="28"/>
        <v>0</v>
      </c>
      <c r="E30" s="1362">
        <f t="shared" si="28"/>
        <v>0</v>
      </c>
      <c r="F30" s="1362">
        <f t="shared" si="28"/>
        <v>0</v>
      </c>
      <c r="G30" s="1362">
        <f t="shared" si="28"/>
        <v>0</v>
      </c>
      <c r="H30" s="1362">
        <f t="shared" si="28"/>
        <v>0</v>
      </c>
      <c r="I30" s="1133">
        <f>I32-I31</f>
        <v>0</v>
      </c>
      <c r="J30" s="1177"/>
      <c r="P30" s="656" t="s">
        <v>1806</v>
      </c>
      <c r="Q30" s="657">
        <f t="shared" ref="Q30:W30" si="29">Q32-Q31</f>
        <v>0</v>
      </c>
      <c r="R30" s="657">
        <f t="shared" si="29"/>
        <v>0</v>
      </c>
      <c r="S30" s="657">
        <f t="shared" si="29"/>
        <v>0</v>
      </c>
      <c r="T30" s="657">
        <f t="shared" si="29"/>
        <v>0</v>
      </c>
      <c r="U30" s="657">
        <f t="shared" si="29"/>
        <v>0</v>
      </c>
      <c r="V30" s="657">
        <f t="shared" si="29"/>
        <v>0</v>
      </c>
      <c r="W30" s="657">
        <f t="shared" si="29"/>
        <v>0</v>
      </c>
      <c r="X30" s="657">
        <f>X32-X31</f>
        <v>0</v>
      </c>
    </row>
    <row r="31" spans="1:24" ht="63">
      <c r="A31" s="661" t="s">
        <v>1123</v>
      </c>
      <c r="B31" s="1313"/>
      <c r="C31" s="1331"/>
      <c r="D31" s="1331"/>
      <c r="E31" s="1331"/>
      <c r="F31" s="1331"/>
      <c r="G31" s="1331"/>
      <c r="H31" s="1331"/>
      <c r="I31" s="1133">
        <f>SUM(B31:H31)</f>
        <v>0</v>
      </c>
      <c r="J31" s="1171"/>
      <c r="P31" s="656" t="s">
        <v>1123</v>
      </c>
      <c r="Q31" s="1178"/>
      <c r="R31" s="1179"/>
      <c r="S31" s="1179"/>
      <c r="T31" s="1179"/>
      <c r="U31" s="1179"/>
      <c r="V31" s="1179"/>
      <c r="W31" s="1179"/>
      <c r="X31" s="1084">
        <f>SUM(Q31:V31)</f>
        <v>0</v>
      </c>
    </row>
    <row r="32" spans="1:24" ht="63">
      <c r="A32" s="661" t="s">
        <v>1124</v>
      </c>
      <c r="B32" s="1313"/>
      <c r="C32" s="1331"/>
      <c r="D32" s="1331"/>
      <c r="E32" s="1331"/>
      <c r="F32" s="1331"/>
      <c r="G32" s="1331"/>
      <c r="H32" s="1331"/>
      <c r="I32" s="1133">
        <f>SUM(B32:H32)</f>
        <v>0</v>
      </c>
      <c r="J32" s="1171"/>
      <c r="P32" s="656" t="s">
        <v>1124</v>
      </c>
      <c r="Q32" s="1178"/>
      <c r="R32" s="1179"/>
      <c r="S32" s="1179"/>
      <c r="T32" s="1179"/>
      <c r="U32" s="1179"/>
      <c r="V32" s="1179"/>
      <c r="W32" s="1179"/>
      <c r="X32" s="1084">
        <f>SUM(Q32:V32)</f>
        <v>0</v>
      </c>
    </row>
    <row r="33" spans="1:24" ht="47.25">
      <c r="A33" s="659" t="s">
        <v>2001</v>
      </c>
      <c r="B33" s="226">
        <f>B16*(1+B26)^2+B27+B30</f>
        <v>0</v>
      </c>
      <c r="C33" s="226">
        <f>C16*(1+C26)^2+C27+C30</f>
        <v>0</v>
      </c>
      <c r="D33" s="226">
        <f>D16*(1+D26)^2+D27+D30</f>
        <v>0</v>
      </c>
      <c r="E33" s="226">
        <f t="shared" ref="E33:G33" si="30">E16*(1+E26)^2+E27+E30</f>
        <v>0</v>
      </c>
      <c r="F33" s="226">
        <f t="shared" si="30"/>
        <v>0</v>
      </c>
      <c r="G33" s="226">
        <f t="shared" si="30"/>
        <v>0</v>
      </c>
      <c r="H33" s="226">
        <f>H16*(1+H26)^2+H27+H30</f>
        <v>0</v>
      </c>
      <c r="I33" s="226">
        <f>I16*(1+I26)^2+I27+I30</f>
        <v>0</v>
      </c>
      <c r="J33" s="1177"/>
      <c r="P33" s="659" t="s">
        <v>1112</v>
      </c>
      <c r="Q33" s="1180">
        <f>Q16*(1+Q26)^2+Q27+Q30</f>
        <v>0</v>
      </c>
      <c r="R33" s="1180">
        <f>R16*(1+R26)^2+R27+R30</f>
        <v>0</v>
      </c>
      <c r="S33" s="1180">
        <f>S16*(1+S26)^2+S27+S30</f>
        <v>0</v>
      </c>
      <c r="T33" s="1180">
        <f t="shared" ref="T33:V33" si="31">T16*(1+T26)^2+T27+T30</f>
        <v>0</v>
      </c>
      <c r="U33" s="1180">
        <f t="shared" si="31"/>
        <v>0</v>
      </c>
      <c r="V33" s="1180">
        <f t="shared" si="31"/>
        <v>0</v>
      </c>
      <c r="W33" s="1180">
        <f>W16*(1+W26)^2+W27+W30</f>
        <v>0</v>
      </c>
      <c r="X33" s="1180">
        <f>X16*(1+X26)^2+X27+X30</f>
        <v>0</v>
      </c>
    </row>
    <row r="34" spans="1:24" ht="30.75" customHeight="1">
      <c r="A34" s="656" t="s">
        <v>1113</v>
      </c>
      <c r="B34" s="106"/>
      <c r="C34" s="106"/>
      <c r="D34" s="106"/>
      <c r="E34" s="106"/>
      <c r="F34" s="106"/>
      <c r="G34" s="106"/>
      <c r="H34" s="106"/>
      <c r="I34" s="855">
        <f>IF(Титульный!B17="2016-2018",'данные об организации'!I31,'данные об организации'!H31)</f>
        <v>0</v>
      </c>
      <c r="J34" s="1171"/>
      <c r="P34" s="656" t="s">
        <v>1113</v>
      </c>
      <c r="Q34" s="662"/>
      <c r="R34" s="662"/>
      <c r="S34" s="106"/>
      <c r="T34" s="106"/>
      <c r="U34" s="106"/>
      <c r="V34" s="106"/>
      <c r="W34" s="106"/>
      <c r="X34" s="855">
        <f>IF(Титульный!B17="2016-2018",'ПП 2016-2018'!H42,'ПП2017-2019'!G45)</f>
        <v>0</v>
      </c>
    </row>
    <row r="35" spans="1:24" ht="21.75" customHeight="1">
      <c r="A35" s="656" t="s">
        <v>1115</v>
      </c>
      <c r="B35" s="106"/>
      <c r="C35" s="106"/>
      <c r="D35" s="106"/>
      <c r="E35" s="106"/>
      <c r="F35" s="106"/>
      <c r="G35" s="106"/>
      <c r="H35" s="106"/>
      <c r="I35" s="1133">
        <f>IF(I34=0,0,I33/(1-I34/100)-I33)</f>
        <v>0</v>
      </c>
      <c r="J35" s="1171"/>
      <c r="P35" s="656" t="s">
        <v>1115</v>
      </c>
      <c r="Q35" s="662"/>
      <c r="R35" s="662"/>
      <c r="S35" s="106"/>
      <c r="T35" s="106"/>
      <c r="U35" s="106"/>
      <c r="V35" s="106"/>
      <c r="W35" s="106"/>
      <c r="X35" s="1084">
        <f>IF(X34=0,0,X33/(1-X34/100)-X33)</f>
        <v>0</v>
      </c>
    </row>
    <row r="36" spans="1:24" s="1168" customFormat="1" ht="31.5">
      <c r="A36" s="659" t="s">
        <v>1630</v>
      </c>
      <c r="B36" s="106"/>
      <c r="C36" s="106"/>
      <c r="D36" s="106"/>
      <c r="E36" s="106"/>
      <c r="F36" s="106"/>
      <c r="G36" s="106"/>
      <c r="H36" s="106"/>
      <c r="I36" s="1133">
        <f>I33+I35</f>
        <v>0</v>
      </c>
      <c r="J36" s="1171"/>
      <c r="P36" s="659" t="s">
        <v>1630</v>
      </c>
      <c r="Q36" s="662"/>
      <c r="R36" s="662"/>
      <c r="S36" s="106"/>
      <c r="T36" s="106"/>
      <c r="U36" s="106"/>
      <c r="V36" s="106"/>
      <c r="W36" s="106"/>
      <c r="X36" s="1084">
        <f>X33+X35</f>
        <v>0</v>
      </c>
    </row>
    <row r="37" spans="1:24" ht="31.5">
      <c r="A37" s="656" t="s">
        <v>1116</v>
      </c>
      <c r="B37" s="106"/>
      <c r="C37" s="106"/>
      <c r="D37" s="106"/>
      <c r="E37" s="106"/>
      <c r="F37" s="106"/>
      <c r="G37" s="106"/>
      <c r="H37" s="106"/>
      <c r="I37" s="226"/>
      <c r="J37" s="1171"/>
      <c r="P37" s="656" t="s">
        <v>1116</v>
      </c>
      <c r="Q37" s="662"/>
      <c r="R37" s="662"/>
      <c r="S37" s="106"/>
      <c r="T37" s="106"/>
      <c r="U37" s="106"/>
      <c r="V37" s="106"/>
      <c r="W37" s="106"/>
      <c r="X37" s="109"/>
    </row>
    <row r="38" spans="1:24" ht="31.5">
      <c r="A38" s="656" t="s">
        <v>1117</v>
      </c>
      <c r="B38" s="106"/>
      <c r="C38" s="106"/>
      <c r="D38" s="106"/>
      <c r="E38" s="106"/>
      <c r="F38" s="106"/>
      <c r="G38" s="106"/>
      <c r="H38" s="106"/>
      <c r="I38" s="226"/>
      <c r="J38" s="1171"/>
      <c r="P38" s="656" t="s">
        <v>1117</v>
      </c>
      <c r="Q38" s="662"/>
      <c r="R38" s="662"/>
      <c r="S38" s="106"/>
      <c r="T38" s="106"/>
      <c r="U38" s="106"/>
      <c r="V38" s="106"/>
      <c r="W38" s="106"/>
      <c r="X38" s="109"/>
    </row>
    <row r="39" spans="1:24" ht="31.5">
      <c r="A39" s="656" t="s">
        <v>1631</v>
      </c>
      <c r="B39" s="106"/>
      <c r="C39" s="106"/>
      <c r="D39" s="106"/>
      <c r="E39" s="106"/>
      <c r="F39" s="106"/>
      <c r="G39" s="106"/>
      <c r="H39" s="106"/>
      <c r="I39" s="226"/>
      <c r="J39" s="1171"/>
      <c r="P39" s="656" t="s">
        <v>1631</v>
      </c>
      <c r="Q39" s="662"/>
      <c r="R39" s="662"/>
      <c r="S39" s="106"/>
      <c r="T39" s="106"/>
      <c r="U39" s="106"/>
      <c r="V39" s="106"/>
      <c r="W39" s="106"/>
      <c r="X39" s="109"/>
    </row>
    <row r="40" spans="1:24" ht="31.5">
      <c r="A40" s="659" t="s">
        <v>1119</v>
      </c>
      <c r="B40" s="106"/>
      <c r="C40" s="106"/>
      <c r="D40" s="106"/>
      <c r="E40" s="106"/>
      <c r="F40" s="106"/>
      <c r="G40" s="106"/>
      <c r="H40" s="106"/>
      <c r="I40" s="106">
        <f>I36+I37-I38-I39</f>
        <v>0</v>
      </c>
      <c r="J40" s="1181"/>
      <c r="P40" s="659" t="s">
        <v>1119</v>
      </c>
      <c r="Q40" s="662"/>
      <c r="R40" s="662"/>
      <c r="S40" s="106"/>
      <c r="T40" s="106"/>
      <c r="U40" s="106"/>
      <c r="V40" s="106"/>
      <c r="W40" s="106"/>
      <c r="X40" s="660">
        <f>X36+X37-X38-X39</f>
        <v>0</v>
      </c>
    </row>
    <row r="41" spans="1:24">
      <c r="P41" s="234"/>
    </row>
    <row r="42" spans="1:24">
      <c r="A42" s="234" t="s">
        <v>1628</v>
      </c>
      <c r="P42" s="234" t="s">
        <v>1628</v>
      </c>
    </row>
  </sheetData>
  <sheetProtection password="F66E" sheet="1" objects="1" scenarios="1" formatCells="0" formatColumns="0" formatRows="0"/>
  <mergeCells count="24">
    <mergeCell ref="P1:X1"/>
    <mergeCell ref="P3:X3"/>
    <mergeCell ref="P7:X7"/>
    <mergeCell ref="P9:P12"/>
    <mergeCell ref="Q9:W9"/>
    <mergeCell ref="X9:X12"/>
    <mergeCell ref="Q10:W10"/>
    <mergeCell ref="Q11:Q12"/>
    <mergeCell ref="R11:R12"/>
    <mergeCell ref="S11:S12"/>
    <mergeCell ref="T11:V11"/>
    <mergeCell ref="W11:W12"/>
    <mergeCell ref="I9:I12"/>
    <mergeCell ref="A7:I7"/>
    <mergeCell ref="A1:I1"/>
    <mergeCell ref="A3:I3"/>
    <mergeCell ref="B10:H10"/>
    <mergeCell ref="B9:H9"/>
    <mergeCell ref="E11:G11"/>
    <mergeCell ref="H11:H12"/>
    <mergeCell ref="A9:A12"/>
    <mergeCell ref="B11:B12"/>
    <mergeCell ref="C11:C12"/>
    <mergeCell ref="D11:D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F14" sqref="F14"/>
    </sheetView>
  </sheetViews>
  <sheetFormatPr defaultRowHeight="15"/>
  <cols>
    <col min="1" max="1" width="9.140625" style="365" customWidth="1"/>
    <col min="2" max="2" width="33.28515625" style="365" customWidth="1"/>
    <col min="3" max="3" width="9.140625" style="365"/>
    <col min="4" max="4" width="14.85546875" style="365" customWidth="1"/>
    <col min="5" max="5" width="15.28515625" style="365" customWidth="1"/>
    <col min="6" max="6" width="16" style="365" customWidth="1"/>
    <col min="7" max="7" width="14.28515625" style="365" customWidth="1"/>
    <col min="8" max="10" width="9.140625" style="365"/>
    <col min="11" max="11" width="0" style="365" hidden="1" customWidth="1"/>
    <col min="12" max="12" width="22.5703125" style="365" hidden="1" customWidth="1"/>
    <col min="13" max="13" width="0" style="365" hidden="1" customWidth="1"/>
    <col min="14" max="14" width="15.42578125" style="365" hidden="1" customWidth="1"/>
    <col min="15" max="15" width="16" style="365" hidden="1" customWidth="1"/>
    <col min="16" max="16" width="13.5703125" style="365" hidden="1" customWidth="1"/>
    <col min="17" max="17" width="13.7109375" style="365" hidden="1" customWidth="1"/>
    <col min="18" max="16384" width="9.140625" style="365"/>
  </cols>
  <sheetData>
    <row r="1" spans="1:17" ht="39" customHeight="1">
      <c r="A1" s="1437" t="str">
        <f>Титульный!B10</f>
        <v xml:space="preserve"> </v>
      </c>
      <c r="B1" s="1437"/>
      <c r="C1" s="1437"/>
      <c r="D1" s="1437"/>
      <c r="E1" s="1437"/>
      <c r="F1" s="1437"/>
      <c r="G1" s="1437"/>
      <c r="K1" s="1437" t="str">
        <f>A1</f>
        <v xml:space="preserve"> </v>
      </c>
      <c r="L1" s="1437"/>
      <c r="M1" s="1437"/>
      <c r="N1" s="1437"/>
      <c r="O1" s="1437"/>
      <c r="P1" s="1437"/>
      <c r="Q1" s="1437"/>
    </row>
    <row r="2" spans="1:17">
      <c r="A2" s="372"/>
      <c r="B2" s="372"/>
      <c r="C2" s="372"/>
      <c r="D2" s="372"/>
      <c r="E2" s="372"/>
      <c r="F2" s="372"/>
      <c r="G2" s="372"/>
      <c r="K2" s="372"/>
      <c r="L2" s="372"/>
      <c r="M2" s="372"/>
      <c r="N2" s="372"/>
      <c r="O2" s="372"/>
      <c r="P2" s="372"/>
      <c r="Q2" s="372"/>
    </row>
    <row r="3" spans="1:17" s="652" customFormat="1" ht="20.25">
      <c r="A3" s="1418" t="str">
        <f>Титульный!B21</f>
        <v/>
      </c>
      <c r="B3" s="1418"/>
      <c r="C3" s="1418"/>
      <c r="D3" s="1418"/>
      <c r="E3" s="1418"/>
      <c r="F3" s="1418"/>
      <c r="G3" s="1418"/>
      <c r="K3" s="1447" t="str">
        <f>A3</f>
        <v/>
      </c>
      <c r="L3" s="1447"/>
      <c r="M3" s="1447"/>
      <c r="N3" s="1447"/>
      <c r="O3" s="1447"/>
      <c r="P3" s="1447"/>
      <c r="Q3" s="1447"/>
    </row>
    <row r="4" spans="1:17" s="652" customFormat="1" ht="18.75">
      <c r="A4" s="1182"/>
      <c r="B4" s="1182"/>
      <c r="C4" s="1081"/>
      <c r="D4" s="1081"/>
      <c r="E4" s="1182"/>
      <c r="F4" s="1182"/>
      <c r="G4" s="1182"/>
      <c r="K4" s="1182"/>
      <c r="L4" s="1182"/>
      <c r="M4" s="1182"/>
      <c r="N4" s="1182"/>
      <c r="O4" s="1182"/>
      <c r="P4" s="1182"/>
      <c r="Q4" s="1182"/>
    </row>
    <row r="5" spans="1:17" s="652" customFormat="1" ht="18.75">
      <c r="A5" s="628" t="s">
        <v>199</v>
      </c>
      <c r="B5" s="629">
        <f>Титульный!B6</f>
        <v>0</v>
      </c>
      <c r="C5" s="1081"/>
      <c r="D5" s="1081"/>
      <c r="E5" s="628" t="s">
        <v>200</v>
      </c>
      <c r="F5" s="629">
        <f>Титульный!B7</f>
        <v>0</v>
      </c>
      <c r="G5" s="1182"/>
      <c r="K5" s="628" t="s">
        <v>199</v>
      </c>
      <c r="L5" s="629">
        <f>B5</f>
        <v>0</v>
      </c>
      <c r="M5" s="1081"/>
      <c r="N5" s="1081"/>
      <c r="O5" s="628" t="s">
        <v>200</v>
      </c>
      <c r="P5" s="629">
        <f>F5</f>
        <v>0</v>
      </c>
      <c r="Q5" s="1182"/>
    </row>
    <row r="6" spans="1:17">
      <c r="A6" s="372"/>
      <c r="B6" s="372"/>
      <c r="C6" s="372"/>
      <c r="D6" s="372"/>
      <c r="E6" s="372"/>
      <c r="F6" s="372"/>
      <c r="G6" s="372"/>
      <c r="K6" s="372"/>
      <c r="L6" s="372"/>
      <c r="M6" s="372"/>
      <c r="N6" s="372"/>
      <c r="O6" s="372"/>
      <c r="P6" s="372"/>
      <c r="Q6" s="372"/>
    </row>
    <row r="7" spans="1:17">
      <c r="A7" s="1441" t="s">
        <v>1655</v>
      </c>
      <c r="B7" s="1441"/>
      <c r="C7" s="1441"/>
      <c r="D7" s="1441"/>
      <c r="E7" s="1441"/>
      <c r="F7" s="1441"/>
      <c r="G7" s="1441"/>
      <c r="K7" s="1441" t="s">
        <v>1654</v>
      </c>
      <c r="L7" s="1441"/>
      <c r="M7" s="1441"/>
      <c r="N7" s="1441"/>
      <c r="O7" s="1441"/>
      <c r="P7" s="1441"/>
      <c r="Q7" s="1441"/>
    </row>
    <row r="8" spans="1:17">
      <c r="A8" s="372"/>
      <c r="B8" s="372"/>
      <c r="C8" s="372"/>
      <c r="D8" s="372"/>
      <c r="E8" s="372"/>
      <c r="F8" s="372"/>
      <c r="G8" s="372"/>
      <c r="K8" s="372"/>
      <c r="L8" s="372"/>
      <c r="M8" s="372"/>
      <c r="N8" s="372"/>
      <c r="O8" s="372"/>
      <c r="P8" s="372"/>
      <c r="Q8" s="372"/>
    </row>
    <row r="9" spans="1:17" ht="15.75" customHeight="1">
      <c r="A9" s="1442" t="s">
        <v>183</v>
      </c>
      <c r="B9" s="1443" t="s">
        <v>308</v>
      </c>
      <c r="C9" s="1443" t="s">
        <v>936</v>
      </c>
      <c r="D9" s="1442" t="s">
        <v>1617</v>
      </c>
      <c r="E9" s="1442" t="s">
        <v>1618</v>
      </c>
      <c r="F9" s="1444" t="s">
        <v>1619</v>
      </c>
      <c r="G9" s="1444" t="s">
        <v>1624</v>
      </c>
      <c r="K9" s="1442" t="s">
        <v>183</v>
      </c>
      <c r="L9" s="1443" t="s">
        <v>308</v>
      </c>
      <c r="M9" s="1443" t="s">
        <v>936</v>
      </c>
      <c r="N9" s="1442" t="s">
        <v>1617</v>
      </c>
      <c r="O9" s="1442" t="s">
        <v>1618</v>
      </c>
      <c r="P9" s="1444" t="s">
        <v>1619</v>
      </c>
      <c r="Q9" s="1444" t="s">
        <v>1624</v>
      </c>
    </row>
    <row r="10" spans="1:17" ht="33" customHeight="1">
      <c r="A10" s="1442"/>
      <c r="B10" s="1443"/>
      <c r="C10" s="1443"/>
      <c r="D10" s="1442"/>
      <c r="E10" s="1442"/>
      <c r="F10" s="1444"/>
      <c r="G10" s="1444"/>
      <c r="K10" s="1442"/>
      <c r="L10" s="1443"/>
      <c r="M10" s="1443"/>
      <c r="N10" s="1442"/>
      <c r="O10" s="1442"/>
      <c r="P10" s="1444"/>
      <c r="Q10" s="1444"/>
    </row>
    <row r="11" spans="1:17">
      <c r="A11" s="1185">
        <v>1</v>
      </c>
      <c r="B11" s="1186" t="s">
        <v>1616</v>
      </c>
      <c r="C11" s="1185" t="s">
        <v>1079</v>
      </c>
      <c r="D11" s="1187">
        <f>'Техн характер системы'!C95</f>
        <v>0</v>
      </c>
      <c r="E11" s="1187">
        <f>'Техн характер системы'!D95</f>
        <v>0</v>
      </c>
      <c r="F11" s="1187">
        <f>(D11+E11)/2</f>
        <v>0</v>
      </c>
      <c r="G11" s="1187">
        <f>IF(D11=0,,(F11-D11)/D11*100)</f>
        <v>0</v>
      </c>
      <c r="K11" s="1185">
        <v>1</v>
      </c>
      <c r="L11" s="1186" t="s">
        <v>1616</v>
      </c>
      <c r="M11" s="1185" t="s">
        <v>1079</v>
      </c>
      <c r="N11" s="1187">
        <f>'Техн характер системы'!M95</f>
        <v>0</v>
      </c>
      <c r="O11" s="1187">
        <f>'Техн характер системы'!N95</f>
        <v>0</v>
      </c>
      <c r="P11" s="1187">
        <f>(N11+O11)/2</f>
        <v>0</v>
      </c>
      <c r="Q11" s="1187">
        <f>IF(N11=0,,(P11-N11)/N11*100)</f>
        <v>0</v>
      </c>
    </row>
    <row r="12" spans="1:17">
      <c r="K12" s="372"/>
      <c r="L12" s="372"/>
      <c r="M12" s="372"/>
      <c r="N12" s="372"/>
      <c r="O12" s="372"/>
      <c r="P12" s="372"/>
      <c r="Q12" s="372"/>
    </row>
    <row r="13" spans="1:17" ht="33.75" customHeight="1">
      <c r="K13" s="372"/>
      <c r="L13" s="372"/>
      <c r="M13" s="372"/>
      <c r="N13" s="372"/>
      <c r="O13" s="372"/>
      <c r="P13" s="372"/>
      <c r="Q13" s="372"/>
    </row>
    <row r="14" spans="1:17">
      <c r="K14" s="372"/>
      <c r="L14" s="372"/>
      <c r="M14" s="372"/>
      <c r="N14" s="372"/>
      <c r="O14" s="372"/>
      <c r="P14" s="372"/>
      <c r="Q14" s="372"/>
    </row>
    <row r="15" spans="1:17">
      <c r="A15" s="1441" t="s">
        <v>1657</v>
      </c>
      <c r="B15" s="1441"/>
      <c r="C15" s="1441"/>
      <c r="D15" s="1441"/>
      <c r="E15" s="1441"/>
      <c r="F15" s="1441"/>
      <c r="G15" s="1184"/>
      <c r="K15" s="1441" t="s">
        <v>1656</v>
      </c>
      <c r="L15" s="1441"/>
      <c r="M15" s="1441"/>
      <c r="N15" s="1441"/>
      <c r="O15" s="1441"/>
      <c r="P15" s="1441"/>
      <c r="Q15" s="370"/>
    </row>
    <row r="16" spans="1:17">
      <c r="A16" s="372"/>
      <c r="B16" s="372"/>
      <c r="C16" s="372"/>
      <c r="D16" s="372"/>
      <c r="E16" s="372"/>
      <c r="F16" s="372"/>
      <c r="K16" s="372"/>
      <c r="L16" s="372"/>
      <c r="M16" s="372"/>
      <c r="N16" s="372"/>
      <c r="O16" s="372"/>
      <c r="P16" s="372"/>
      <c r="Q16" s="372"/>
    </row>
    <row r="17" spans="1:17" ht="15" customHeight="1">
      <c r="A17" s="1442" t="s">
        <v>183</v>
      </c>
      <c r="B17" s="1443" t="s">
        <v>308</v>
      </c>
      <c r="C17" s="1443" t="s">
        <v>936</v>
      </c>
      <c r="D17" s="1445" t="s">
        <v>1620</v>
      </c>
      <c r="E17" s="1445" t="s">
        <v>1621</v>
      </c>
      <c r="F17" s="1444" t="s">
        <v>1622</v>
      </c>
      <c r="K17" s="1442" t="s">
        <v>183</v>
      </c>
      <c r="L17" s="1443" t="s">
        <v>308</v>
      </c>
      <c r="M17" s="1443" t="s">
        <v>936</v>
      </c>
      <c r="N17" s="1445" t="s">
        <v>1620</v>
      </c>
      <c r="O17" s="1445" t="s">
        <v>1621</v>
      </c>
      <c r="P17" s="1444" t="s">
        <v>1622</v>
      </c>
      <c r="Q17" s="372"/>
    </row>
    <row r="18" spans="1:17" ht="25.5" customHeight="1">
      <c r="A18" s="1442"/>
      <c r="B18" s="1443"/>
      <c r="C18" s="1443"/>
      <c r="D18" s="1446"/>
      <c r="E18" s="1446"/>
      <c r="F18" s="1444"/>
      <c r="K18" s="1442"/>
      <c r="L18" s="1443"/>
      <c r="M18" s="1443"/>
      <c r="N18" s="1446"/>
      <c r="O18" s="1446"/>
      <c r="P18" s="1444"/>
      <c r="Q18" s="372"/>
    </row>
    <row r="19" spans="1:17" ht="20.25" customHeight="1">
      <c r="A19" s="1185">
        <v>1</v>
      </c>
      <c r="B19" s="1186" t="s">
        <v>1616</v>
      </c>
      <c r="C19" s="1185" t="s">
        <v>1079</v>
      </c>
      <c r="D19" s="1187">
        <f>'Техн характер системы'!E95</f>
        <v>0</v>
      </c>
      <c r="E19" s="1187">
        <f>'Техн характер системы'!F95</f>
        <v>0</v>
      </c>
      <c r="F19" s="1187">
        <f>IF(D19=0,,(E19-D19)/D19*100)</f>
        <v>0</v>
      </c>
      <c r="K19" s="1185">
        <v>1</v>
      </c>
      <c r="L19" s="1186" t="s">
        <v>1616</v>
      </c>
      <c r="M19" s="1185" t="s">
        <v>1079</v>
      </c>
      <c r="N19" s="1187">
        <f>'Техн характер системы'!O95</f>
        <v>0</v>
      </c>
      <c r="O19" s="1187">
        <f>'Техн характер системы'!P95</f>
        <v>0</v>
      </c>
      <c r="P19" s="1187">
        <f>IF(N19=0,,(O19-N19)/N19*100)</f>
        <v>0</v>
      </c>
      <c r="Q19" s="372"/>
    </row>
  </sheetData>
  <sheetProtection password="F66E" sheet="1" objects="1" scenarios="1" formatCells="0" formatColumns="0" formatRows="0"/>
  <mergeCells count="34">
    <mergeCell ref="K1:Q1"/>
    <mergeCell ref="K3:Q3"/>
    <mergeCell ref="K17:K18"/>
    <mergeCell ref="L17:L18"/>
    <mergeCell ref="M17:M18"/>
    <mergeCell ref="N17:N18"/>
    <mergeCell ref="O17:O18"/>
    <mergeCell ref="P17:P18"/>
    <mergeCell ref="K7:Q7"/>
    <mergeCell ref="K9:K10"/>
    <mergeCell ref="L9:L10"/>
    <mergeCell ref="M9:M10"/>
    <mergeCell ref="N9:N10"/>
    <mergeCell ref="O9:O10"/>
    <mergeCell ref="P9:P10"/>
    <mergeCell ref="Q9:Q10"/>
    <mergeCell ref="K15:P15"/>
    <mergeCell ref="A15:F15"/>
    <mergeCell ref="F17:F18"/>
    <mergeCell ref="A17:A18"/>
    <mergeCell ref="B17:B18"/>
    <mergeCell ref="C17:C18"/>
    <mergeCell ref="D17:D18"/>
    <mergeCell ref="E17:E18"/>
    <mergeCell ref="A1:G1"/>
    <mergeCell ref="A3:G3"/>
    <mergeCell ref="A7:G7"/>
    <mergeCell ref="A9:A10"/>
    <mergeCell ref="B9:B10"/>
    <mergeCell ref="C9:C10"/>
    <mergeCell ref="D9:D10"/>
    <mergeCell ref="E9:E10"/>
    <mergeCell ref="F9:F10"/>
    <mergeCell ref="G9:G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38</vt:i4>
      </vt:variant>
      <vt:variant>
        <vt:lpstr>Именованные диапазоны</vt:lpstr>
      </vt:variant>
      <vt:variant>
        <vt:i4>107</vt:i4>
      </vt:variant>
    </vt:vector>
  </HeadingPairs>
  <TitlesOfParts>
    <vt:vector size="145" baseType="lpstr">
      <vt:lpstr>Инструкция</vt:lpstr>
      <vt:lpstr>Титульный</vt:lpstr>
      <vt:lpstr>списки</vt:lpstr>
      <vt:lpstr>дефляторы</vt:lpstr>
      <vt:lpstr>данные об организации</vt:lpstr>
      <vt:lpstr>Анкета</vt:lpstr>
      <vt:lpstr>Техн характер системы</vt:lpstr>
      <vt:lpstr>баланс ВСН</vt:lpstr>
      <vt:lpstr>расчет у.е.</vt:lpstr>
      <vt:lpstr>НВВ16ф</vt:lpstr>
      <vt:lpstr>ППф</vt:lpstr>
      <vt:lpstr>ИПф</vt:lpstr>
      <vt:lpstr>ОР</vt:lpstr>
      <vt:lpstr>РЭ</vt:lpstr>
      <vt:lpstr>расходы по покупке воды</vt:lpstr>
      <vt:lpstr>сторонние услуги в тарифе</vt:lpstr>
      <vt:lpstr>тепловая энергия на обогрев</vt:lpstr>
      <vt:lpstr>Прочие энергоресурсы</vt:lpstr>
      <vt:lpstr>земля</vt:lpstr>
      <vt:lpstr>Аренда</vt:lpstr>
      <vt:lpstr>имущ.налог</vt:lpstr>
      <vt:lpstr>водный налог</vt:lpstr>
      <vt:lpstr>Техн характер бсх</vt:lpstr>
      <vt:lpstr>Бесхоз</vt:lpstr>
      <vt:lpstr>НРиА</vt:lpstr>
      <vt:lpstr>НП</vt:lpstr>
      <vt:lpstr>НВВск и тариф</vt:lpstr>
      <vt:lpstr>ПП</vt:lpstr>
      <vt:lpstr>ППсогл</vt:lpstr>
      <vt:lpstr>НВВсогл</vt:lpstr>
      <vt:lpstr>баланс базового периода</vt:lpstr>
      <vt:lpstr>НВВ базовый расчет</vt:lpstr>
      <vt:lpstr>ПП 2016-2018</vt:lpstr>
      <vt:lpstr>ПП2017-2019</vt:lpstr>
      <vt:lpstr>НВВ2017</vt:lpstr>
      <vt:lpstr>смета факт 16</vt:lpstr>
      <vt:lpstr>отчетПП</vt:lpstr>
      <vt:lpstr>приказ</vt:lpstr>
      <vt:lpstr>аренда_среднегод_2016</vt:lpstr>
      <vt:lpstr>аренда_среднегод_2017</vt:lpstr>
      <vt:lpstr>аренда_среднегод_2018</vt:lpstr>
      <vt:lpstr>аренда_среднегод_2019</vt:lpstr>
      <vt:lpstr>аренда_среднегод_2020</vt:lpstr>
      <vt:lpstr>вид_водозабора</vt:lpstr>
      <vt:lpstr>вид_воды</vt:lpstr>
      <vt:lpstr>вид_тарифа</vt:lpstr>
      <vt:lpstr>вода_среднегод_2016</vt:lpstr>
      <vt:lpstr>вода_среднегод_2017</vt:lpstr>
      <vt:lpstr>вода_среднегод_2018</vt:lpstr>
      <vt:lpstr>вода_среднегод_2019</vt:lpstr>
      <vt:lpstr>вода_среднегод_2020</vt:lpstr>
      <vt:lpstr>вспомогательные_материалы_среднегод_2016</vt:lpstr>
      <vt:lpstr>вспомогательные_материалы_среднегод_2017</vt:lpstr>
      <vt:lpstr>вспомогательные_материалы_среднегод_2018</vt:lpstr>
      <vt:lpstr>вспомогательные_материалы_среднегод_2019</vt:lpstr>
      <vt:lpstr>вспомогательные_материалы_среднегод_2020</vt:lpstr>
      <vt:lpstr>выбор</vt:lpstr>
      <vt:lpstr>газ_среднегод_2016</vt:lpstr>
      <vt:lpstr>газ_среднегод_2017</vt:lpstr>
      <vt:lpstr>газ_среднегод_2018</vt:lpstr>
      <vt:lpstr>газ_среднегод_2019</vt:lpstr>
      <vt:lpstr>газ_среднегод_2020</vt:lpstr>
      <vt:lpstr>грузовой_транспорт_среднегод_2016</vt:lpstr>
      <vt:lpstr>грузовой_транспорт_среднегод_2017</vt:lpstr>
      <vt:lpstr>грузовой_транспорт_среднегод_2018</vt:lpstr>
      <vt:lpstr>грузовой_транспорт_среднегод_2019</vt:lpstr>
      <vt:lpstr>грузовой_транспорт_среднегод_2020</vt:lpstr>
      <vt:lpstr>дизельное_топливо_среднегод_2016</vt:lpstr>
      <vt:lpstr>дизельное_топливо_среднегод_2017</vt:lpstr>
      <vt:lpstr>дизельное_топливо_среднегод_2018</vt:lpstr>
      <vt:lpstr>дизельное_топливо_среднегод_2019</vt:lpstr>
      <vt:lpstr>дизельное_топливо_среднегод_2020</vt:lpstr>
      <vt:lpstr>дрова_среднегод_2016</vt:lpstr>
      <vt:lpstr>дрова_среднегод_2017</vt:lpstr>
      <vt:lpstr>дрова_среднегод_2018</vt:lpstr>
      <vt:lpstr>дрова_среднегод_2019</vt:lpstr>
      <vt:lpstr>дрова_среднегод_2020</vt:lpstr>
      <vt:lpstr>жд_перевозки_2016</vt:lpstr>
      <vt:lpstr>жд_перевозки_2017</vt:lpstr>
      <vt:lpstr>жд_перевозки_2018</vt:lpstr>
      <vt:lpstr>жд_перевозки_2019</vt:lpstr>
      <vt:lpstr>жд_перевозки_2020</vt:lpstr>
      <vt:lpstr>зарплата_среднегод_2016</vt:lpstr>
      <vt:lpstr>зарплата_среднегод_2017</vt:lpstr>
      <vt:lpstr>зарплата_среднегод_2018</vt:lpstr>
      <vt:lpstr>зарплата_среднегод_2019</vt:lpstr>
      <vt:lpstr>зарплата_среднегод_2020</vt:lpstr>
      <vt:lpstr>ИНН</vt:lpstr>
      <vt:lpstr>ИПЦ_среднегод_2016</vt:lpstr>
      <vt:lpstr>ИПЦ_среднегод_2017</vt:lpstr>
      <vt:lpstr>ИПЦ_среднегод_2018</vt:lpstr>
      <vt:lpstr>ИПЦ_среднегод_2019</vt:lpstr>
      <vt:lpstr>ИПЦ_среднегод_2020</vt:lpstr>
      <vt:lpstr>источники</vt:lpstr>
      <vt:lpstr>мазут_среднегод_2016</vt:lpstr>
      <vt:lpstr>мазут_среднегод_2017</vt:lpstr>
      <vt:lpstr>мазут_среднегод_2018</vt:lpstr>
      <vt:lpstr>мазут_среднегод_2019</vt:lpstr>
      <vt:lpstr>мазут_среднегод_2020</vt:lpstr>
      <vt:lpstr>муниципальное_образование</vt:lpstr>
      <vt:lpstr>налоги_среднегод_2019</vt:lpstr>
      <vt:lpstr>ндс</vt:lpstr>
      <vt:lpstr>нефть_среднегод_2016</vt:lpstr>
      <vt:lpstr>нефть_среднегод_2017</vt:lpstr>
      <vt:lpstr>нефть_среднегод_2018</vt:lpstr>
      <vt:lpstr>нефть_среднегод_2019</vt:lpstr>
      <vt:lpstr>нефть_среднегод_2020</vt:lpstr>
      <vt:lpstr>осн</vt:lpstr>
      <vt:lpstr>охр</vt:lpstr>
      <vt:lpstr>период_регулирования</vt:lpstr>
      <vt:lpstr>приказтариф</vt:lpstr>
      <vt:lpstr>прочие_затраты_с_01.07.2019</vt:lpstr>
      <vt:lpstr>прочие_затраты_среднегод_2016</vt:lpstr>
      <vt:lpstr>прочие_затраты_среднегод_2017</vt:lpstr>
      <vt:lpstr>прочие_затраты_среднегод_2018</vt:lpstr>
      <vt:lpstr>прочие_затраты_среднегод_2019</vt:lpstr>
      <vt:lpstr>прочие_затраты_среднегод_2020</vt:lpstr>
      <vt:lpstr>район</vt:lpstr>
      <vt:lpstr>система_налогообложения</vt:lpstr>
      <vt:lpstr>стадия</vt:lpstr>
      <vt:lpstr>тариф</vt:lpstr>
      <vt:lpstr>тарифприказ</vt:lpstr>
      <vt:lpstr>теплоэнергия_среднегод_2016</vt:lpstr>
      <vt:lpstr>теплоэнергия_среднегод_2017</vt:lpstr>
      <vt:lpstr>теплоэнергия_среднегод_2018</vt:lpstr>
      <vt:lpstr>теплоэнергия_среднегод_2019</vt:lpstr>
      <vt:lpstr>теплоэнергия_среднегод_2020</vt:lpstr>
      <vt:lpstr>товар</vt:lpstr>
      <vt:lpstr>уголь_среднегод_2016</vt:lpstr>
      <vt:lpstr>уголь_среднегод_2017</vt:lpstr>
      <vt:lpstr>уголь_среднегод_2018</vt:lpstr>
      <vt:lpstr>уголь_среднегод_2019</vt:lpstr>
      <vt:lpstr>уголь_среднегод_2020</vt:lpstr>
      <vt:lpstr>услуги_произв_характера_среднегод_2016</vt:lpstr>
      <vt:lpstr>услуги_произв_характера_среднегод_2017</vt:lpstr>
      <vt:lpstr>услуги_произв_характера_среднегод_2018</vt:lpstr>
      <vt:lpstr>услуги_произв_характера_среднегод_2019</vt:lpstr>
      <vt:lpstr>услуги_произв_характера_среднегод_2020</vt:lpstr>
      <vt:lpstr>усн</vt:lpstr>
      <vt:lpstr>уснбаза</vt:lpstr>
      <vt:lpstr>электроэнергия_среднегод_2016</vt:lpstr>
      <vt:lpstr>электроэнергия_среднегод_2017</vt:lpstr>
      <vt:lpstr>электроэнергия_среднегод_2018</vt:lpstr>
      <vt:lpstr>электроэнергия_среднегод_2019</vt:lpstr>
      <vt:lpstr>электроэнергия_среднегод_2020</vt:lpstr>
    </vt:vector>
  </TitlesOfParts>
  <Company>ДТРГЗ Томской области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Блажко М.В.</dc:creator>
  <cp:lastModifiedBy>Блажко М.В.</cp:lastModifiedBy>
  <cp:lastPrinted>2016-10-13T11:17:01Z</cp:lastPrinted>
  <dcterms:created xsi:type="dcterms:W3CDTF">2016-03-09T04:16:56Z</dcterms:created>
  <dcterms:modified xsi:type="dcterms:W3CDTF">2017-04-20T08:39:58Z</dcterms:modified>
</cp:coreProperties>
</file>